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mc:AlternateContent xmlns:mc="http://schemas.openxmlformats.org/markup-compatibility/2006">
    <mc:Choice Requires="x15">
      <x15ac:absPath xmlns:x15ac="http://schemas.microsoft.com/office/spreadsheetml/2010/11/ac" url="/Users/alejomaf/Library/Containers/com.microsoft.Excel/Data/tmp/gg-recursos/"/>
    </mc:Choice>
  </mc:AlternateContent>
  <xr:revisionPtr revIDLastSave="0" documentId="13_ncr:1_{5A5FE233-BBF2-AA4C-9B30-C817490D22C1}" xr6:coauthVersionLast="47" xr6:coauthVersionMax="47" xr10:uidLastSave="{00000000-0000-0000-0000-000000000000}"/>
  <bookViews>
    <workbookView xWindow="0" yWindow="600" windowWidth="38400" windowHeight="19360" xr2:uid="{00000000-000D-0000-FFFF-FFFF00000000}"/>
  </bookViews>
  <sheets>
    <sheet name="Empieza aquí" sheetId="1" r:id="rId1"/>
    <sheet name="Supuestos" sheetId="2" r:id="rId2"/>
    <sheet name="Resumen" sheetId="3" r:id="rId3"/>
    <sheet name="Previsión 36 meses" sheetId="4" r:id="rId4"/>
    <sheet name="Cuenta de resultados" sheetId="5" r:id="rId5"/>
    <sheet name="Punto de equilibrio" sheetId="6" r:id="rId6"/>
    <sheet name="Cuando la hoja se queda corta" sheetId="7" r:id="rId7"/>
  </sheets>
  <definedNames>
    <definedName name="_xlnm.Print_Area" localSheetId="6">'Cuando la hoja se queda corta'!$A$1:$C$13</definedName>
    <definedName name="_xlnm.Print_Area" localSheetId="4">'Cuenta de resultados'!$A$1:$I$47</definedName>
    <definedName name="_xlnm.Print_Area" localSheetId="0">'Empieza aquí'!$A$1:$E$45</definedName>
    <definedName name="_xlnm.Print_Area" localSheetId="3">'Previsión 36 meses'!$A$1:$P$120</definedName>
    <definedName name="_xlnm.Print_Area" localSheetId="5">'Punto de equilibrio'!$A$1:$K$93</definedName>
    <definedName name="_xlnm.Print_Area" localSheetId="2">Resumen!$A$1:$Q$58</definedName>
    <definedName name="_xlnm.Print_Area" localSheetId="1">Supuestos!$A$1:$H$114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91" i="6" l="1"/>
  <c r="Q91" i="6"/>
  <c r="P91" i="6"/>
  <c r="N91" i="6"/>
  <c r="B91" i="6"/>
  <c r="U90" i="6"/>
  <c r="Q90" i="6"/>
  <c r="P90" i="6"/>
  <c r="N90" i="6"/>
  <c r="B90" i="6"/>
  <c r="U89" i="6"/>
  <c r="Q89" i="6"/>
  <c r="P89" i="6"/>
  <c r="N89" i="6"/>
  <c r="B89" i="6"/>
  <c r="U88" i="6"/>
  <c r="Q88" i="6"/>
  <c r="P88" i="6"/>
  <c r="N88" i="6"/>
  <c r="B88" i="6"/>
  <c r="U87" i="6"/>
  <c r="Q87" i="6"/>
  <c r="P87" i="6"/>
  <c r="N87" i="6"/>
  <c r="B87" i="6"/>
  <c r="U86" i="6"/>
  <c r="Q86" i="6"/>
  <c r="P86" i="6"/>
  <c r="N86" i="6"/>
  <c r="B86" i="6"/>
  <c r="U85" i="6"/>
  <c r="Q85" i="6"/>
  <c r="P85" i="6"/>
  <c r="N85" i="6"/>
  <c r="B85" i="6"/>
  <c r="U84" i="6"/>
  <c r="Q84" i="6"/>
  <c r="P84" i="6"/>
  <c r="N84" i="6"/>
  <c r="B84" i="6"/>
  <c r="U83" i="6"/>
  <c r="Q83" i="6"/>
  <c r="P83" i="6"/>
  <c r="N83" i="6"/>
  <c r="B83" i="6"/>
  <c r="U82" i="6"/>
  <c r="Q82" i="6"/>
  <c r="P82" i="6"/>
  <c r="N82" i="6"/>
  <c r="B82" i="6"/>
  <c r="U81" i="6"/>
  <c r="Q81" i="6"/>
  <c r="P81" i="6"/>
  <c r="N81" i="6"/>
  <c r="B81" i="6"/>
  <c r="U80" i="6"/>
  <c r="Q80" i="6"/>
  <c r="P80" i="6"/>
  <c r="N80" i="6"/>
  <c r="B80" i="6"/>
  <c r="U79" i="6"/>
  <c r="Q79" i="6"/>
  <c r="P79" i="6"/>
  <c r="N79" i="6"/>
  <c r="B79" i="6"/>
  <c r="U78" i="6"/>
  <c r="Q78" i="6"/>
  <c r="P78" i="6"/>
  <c r="N78" i="6"/>
  <c r="B78" i="6"/>
  <c r="U77" i="6"/>
  <c r="Q77" i="6"/>
  <c r="P77" i="6"/>
  <c r="N77" i="6"/>
  <c r="B77" i="6"/>
  <c r="U76" i="6"/>
  <c r="Q76" i="6"/>
  <c r="P76" i="6"/>
  <c r="N76" i="6"/>
  <c r="B76" i="6"/>
  <c r="U75" i="6"/>
  <c r="Q75" i="6"/>
  <c r="P75" i="6"/>
  <c r="N75" i="6"/>
  <c r="B75" i="6"/>
  <c r="U74" i="6"/>
  <c r="Q74" i="6"/>
  <c r="P74" i="6"/>
  <c r="N74" i="6"/>
  <c r="B74" i="6"/>
  <c r="U73" i="6"/>
  <c r="Q73" i="6"/>
  <c r="P73" i="6"/>
  <c r="N73" i="6"/>
  <c r="B73" i="6"/>
  <c r="U72" i="6"/>
  <c r="Q72" i="6"/>
  <c r="P72" i="6"/>
  <c r="N72" i="6"/>
  <c r="B72" i="6"/>
  <c r="U71" i="6"/>
  <c r="Q71" i="6"/>
  <c r="P71" i="6"/>
  <c r="N71" i="6"/>
  <c r="B71" i="6"/>
  <c r="U70" i="6"/>
  <c r="Q70" i="6"/>
  <c r="P70" i="6"/>
  <c r="N70" i="6"/>
  <c r="B70" i="6"/>
  <c r="U69" i="6"/>
  <c r="Q69" i="6"/>
  <c r="P69" i="6"/>
  <c r="N69" i="6"/>
  <c r="B69" i="6"/>
  <c r="U68" i="6"/>
  <c r="Q68" i="6"/>
  <c r="P68" i="6"/>
  <c r="N68" i="6"/>
  <c r="B68" i="6"/>
  <c r="U67" i="6"/>
  <c r="Q67" i="6"/>
  <c r="P67" i="6"/>
  <c r="N67" i="6"/>
  <c r="B67" i="6"/>
  <c r="U66" i="6"/>
  <c r="Q66" i="6"/>
  <c r="P66" i="6"/>
  <c r="N66" i="6"/>
  <c r="B66" i="6"/>
  <c r="U65" i="6"/>
  <c r="Q65" i="6"/>
  <c r="P65" i="6"/>
  <c r="N65" i="6"/>
  <c r="B65" i="6"/>
  <c r="U64" i="6"/>
  <c r="Q64" i="6"/>
  <c r="P64" i="6"/>
  <c r="N64" i="6"/>
  <c r="B64" i="6"/>
  <c r="U63" i="6"/>
  <c r="Q63" i="6"/>
  <c r="P63" i="6"/>
  <c r="N63" i="6"/>
  <c r="B63" i="6"/>
  <c r="U62" i="6"/>
  <c r="Q62" i="6"/>
  <c r="P62" i="6"/>
  <c r="N62" i="6"/>
  <c r="B62" i="6"/>
  <c r="U61" i="6"/>
  <c r="Q61" i="6"/>
  <c r="P61" i="6"/>
  <c r="N61" i="6"/>
  <c r="B61" i="6"/>
  <c r="U60" i="6"/>
  <c r="Q60" i="6"/>
  <c r="P60" i="6"/>
  <c r="N60" i="6"/>
  <c r="B60" i="6"/>
  <c r="U59" i="6"/>
  <c r="Q59" i="6"/>
  <c r="P59" i="6"/>
  <c r="N59" i="6"/>
  <c r="B59" i="6"/>
  <c r="U58" i="6"/>
  <c r="Q58" i="6"/>
  <c r="P58" i="6"/>
  <c r="N58" i="6"/>
  <c r="B58" i="6"/>
  <c r="U57" i="6"/>
  <c r="Q57" i="6"/>
  <c r="P57" i="6"/>
  <c r="N57" i="6"/>
  <c r="B57" i="6"/>
  <c r="U56" i="6"/>
  <c r="Q56" i="6"/>
  <c r="P56" i="6"/>
  <c r="N56" i="6"/>
  <c r="B56" i="6"/>
  <c r="U55" i="6"/>
  <c r="DP54" i="6"/>
  <c r="DL54" i="6"/>
  <c r="DH54" i="6"/>
  <c r="DD54" i="6"/>
  <c r="CZ54" i="6"/>
  <c r="CV54" i="6"/>
  <c r="CR54" i="6"/>
  <c r="CN54" i="6"/>
  <c r="CJ54" i="6"/>
  <c r="CF54" i="6"/>
  <c r="CB54" i="6"/>
  <c r="BX54" i="6"/>
  <c r="BT54" i="6"/>
  <c r="BP54" i="6"/>
  <c r="BL54" i="6"/>
  <c r="BH54" i="6"/>
  <c r="BD54" i="6"/>
  <c r="AZ54" i="6"/>
  <c r="AV54" i="6"/>
  <c r="AR54" i="6"/>
  <c r="AN54" i="6"/>
  <c r="AJ54" i="6"/>
  <c r="AF54" i="6"/>
  <c r="AB54" i="6"/>
  <c r="X54" i="6"/>
  <c r="DP53" i="6"/>
  <c r="DL53" i="6"/>
  <c r="DH53" i="6"/>
  <c r="DD53" i="6"/>
  <c r="CZ53" i="6"/>
  <c r="CV53" i="6"/>
  <c r="CR53" i="6"/>
  <c r="CN53" i="6"/>
  <c r="CJ53" i="6"/>
  <c r="CF53" i="6"/>
  <c r="CB53" i="6"/>
  <c r="BX53" i="6"/>
  <c r="BT53" i="6"/>
  <c r="BP53" i="6"/>
  <c r="BL53" i="6"/>
  <c r="BH53" i="6"/>
  <c r="BD53" i="6"/>
  <c r="AZ53" i="6"/>
  <c r="AV53" i="6"/>
  <c r="AR53" i="6"/>
  <c r="AN53" i="6"/>
  <c r="AJ53" i="6"/>
  <c r="AF53" i="6"/>
  <c r="AB53" i="6"/>
  <c r="X53" i="6"/>
  <c r="B49" i="6"/>
  <c r="B48" i="6"/>
  <c r="B47" i="6"/>
  <c r="B46" i="6"/>
  <c r="B45" i="6"/>
  <c r="G44" i="6"/>
  <c r="F44" i="6"/>
  <c r="E44" i="6"/>
  <c r="D44" i="6"/>
  <c r="C44" i="6"/>
  <c r="C27" i="6"/>
  <c r="C25" i="6"/>
  <c r="E8" i="6"/>
  <c r="E11" i="6" s="1"/>
  <c r="D8" i="6"/>
  <c r="D11" i="6" s="1"/>
  <c r="C8" i="6"/>
  <c r="C11" i="6" s="1"/>
  <c r="G33" i="5"/>
  <c r="E33" i="5"/>
  <c r="C33" i="5"/>
  <c r="G6" i="5"/>
  <c r="E6" i="5"/>
  <c r="C6" i="5"/>
  <c r="N106" i="4"/>
  <c r="M106" i="4"/>
  <c r="L106" i="4"/>
  <c r="K106" i="4"/>
  <c r="J106" i="4"/>
  <c r="I106" i="4"/>
  <c r="H106" i="4"/>
  <c r="G106" i="4"/>
  <c r="F106" i="4"/>
  <c r="E106" i="4"/>
  <c r="D106" i="4"/>
  <c r="C106" i="4"/>
  <c r="O106" i="4" s="1"/>
  <c r="G24" i="5" s="1"/>
  <c r="N105" i="4"/>
  <c r="M105" i="4"/>
  <c r="L105" i="4"/>
  <c r="K105" i="4"/>
  <c r="J105" i="4"/>
  <c r="I105" i="4"/>
  <c r="H105" i="4"/>
  <c r="G105" i="4"/>
  <c r="F105" i="4"/>
  <c r="E105" i="4"/>
  <c r="D105" i="4"/>
  <c r="C105" i="4"/>
  <c r="O105" i="4" s="1"/>
  <c r="G23" i="5" s="1"/>
  <c r="N104" i="4"/>
  <c r="M104" i="4"/>
  <c r="L104" i="4"/>
  <c r="K104" i="4"/>
  <c r="J104" i="4"/>
  <c r="I104" i="4"/>
  <c r="H104" i="4"/>
  <c r="G104" i="4"/>
  <c r="F104" i="4"/>
  <c r="E104" i="4"/>
  <c r="D104" i="4"/>
  <c r="C104" i="4"/>
  <c r="O104" i="4" s="1"/>
  <c r="G22" i="5" s="1"/>
  <c r="N103" i="4"/>
  <c r="M103" i="4"/>
  <c r="L103" i="4"/>
  <c r="K103" i="4"/>
  <c r="J103" i="4"/>
  <c r="I103" i="4"/>
  <c r="H103" i="4"/>
  <c r="G103" i="4"/>
  <c r="F103" i="4"/>
  <c r="E103" i="4"/>
  <c r="D103" i="4"/>
  <c r="C103" i="4"/>
  <c r="O103" i="4" s="1"/>
  <c r="G21" i="5" s="1"/>
  <c r="N102" i="4"/>
  <c r="M102" i="4"/>
  <c r="L102" i="4"/>
  <c r="K102" i="4"/>
  <c r="J102" i="4"/>
  <c r="I102" i="4"/>
  <c r="H102" i="4"/>
  <c r="G102" i="4"/>
  <c r="F102" i="4"/>
  <c r="E102" i="4"/>
  <c r="D102" i="4"/>
  <c r="C102" i="4"/>
  <c r="N101" i="4"/>
  <c r="M101" i="4"/>
  <c r="L101" i="4"/>
  <c r="K101" i="4"/>
  <c r="J101" i="4"/>
  <c r="I101" i="4"/>
  <c r="H101" i="4"/>
  <c r="G101" i="4"/>
  <c r="F101" i="4"/>
  <c r="E101" i="4"/>
  <c r="D101" i="4"/>
  <c r="C101" i="4"/>
  <c r="O101" i="4" s="1"/>
  <c r="G19" i="5" s="1"/>
  <c r="N100" i="4"/>
  <c r="M100" i="4"/>
  <c r="L100" i="4"/>
  <c r="K100" i="4"/>
  <c r="J100" i="4"/>
  <c r="I100" i="4"/>
  <c r="H100" i="4"/>
  <c r="G100" i="4"/>
  <c r="F100" i="4"/>
  <c r="E100" i="4"/>
  <c r="D100" i="4"/>
  <c r="C100" i="4"/>
  <c r="N99" i="4"/>
  <c r="M99" i="4"/>
  <c r="L99" i="4"/>
  <c r="K99" i="4"/>
  <c r="J99" i="4"/>
  <c r="I99" i="4"/>
  <c r="H99" i="4"/>
  <c r="G99" i="4"/>
  <c r="F99" i="4"/>
  <c r="E99" i="4"/>
  <c r="D99" i="4"/>
  <c r="C99" i="4"/>
  <c r="O99" i="4" s="1"/>
  <c r="G17" i="5" s="1"/>
  <c r="N84" i="4"/>
  <c r="M84" i="4"/>
  <c r="L84" i="4"/>
  <c r="K84" i="4"/>
  <c r="J84" i="4"/>
  <c r="I84" i="4"/>
  <c r="H84" i="4"/>
  <c r="G84" i="4"/>
  <c r="F84" i="4"/>
  <c r="E84" i="4"/>
  <c r="D84" i="4"/>
  <c r="C84" i="4"/>
  <c r="B83" i="4"/>
  <c r="N68" i="4"/>
  <c r="M68" i="4"/>
  <c r="L68" i="4"/>
  <c r="K68" i="4"/>
  <c r="J68" i="4"/>
  <c r="I68" i="4"/>
  <c r="H68" i="4"/>
  <c r="G68" i="4"/>
  <c r="F68" i="4"/>
  <c r="E68" i="4"/>
  <c r="D68" i="4"/>
  <c r="C68" i="4"/>
  <c r="O68" i="4" s="1"/>
  <c r="E24" i="5" s="1"/>
  <c r="N67" i="4"/>
  <c r="M67" i="4"/>
  <c r="L67" i="4"/>
  <c r="K67" i="4"/>
  <c r="J67" i="4"/>
  <c r="I67" i="4"/>
  <c r="H67" i="4"/>
  <c r="G67" i="4"/>
  <c r="F67" i="4"/>
  <c r="E67" i="4"/>
  <c r="D67" i="4"/>
  <c r="C67" i="4"/>
  <c r="O67" i="4" s="1"/>
  <c r="E23" i="5" s="1"/>
  <c r="N66" i="4"/>
  <c r="M66" i="4"/>
  <c r="L66" i="4"/>
  <c r="K66" i="4"/>
  <c r="J66" i="4"/>
  <c r="I66" i="4"/>
  <c r="H66" i="4"/>
  <c r="G66" i="4"/>
  <c r="F66" i="4"/>
  <c r="E66" i="4"/>
  <c r="D66" i="4"/>
  <c r="C66" i="4"/>
  <c r="O66" i="4" s="1"/>
  <c r="E22" i="5" s="1"/>
  <c r="N65" i="4"/>
  <c r="M65" i="4"/>
  <c r="L65" i="4"/>
  <c r="K65" i="4"/>
  <c r="J65" i="4"/>
  <c r="I65" i="4"/>
  <c r="H65" i="4"/>
  <c r="G65" i="4"/>
  <c r="F65" i="4"/>
  <c r="E65" i="4"/>
  <c r="D65" i="4"/>
  <c r="C65" i="4"/>
  <c r="O65" i="4" s="1"/>
  <c r="E21" i="5" s="1"/>
  <c r="N64" i="4"/>
  <c r="M64" i="4"/>
  <c r="L64" i="4"/>
  <c r="K64" i="4"/>
  <c r="J64" i="4"/>
  <c r="I64" i="4"/>
  <c r="H64" i="4"/>
  <c r="G64" i="4"/>
  <c r="F64" i="4"/>
  <c r="E64" i="4"/>
  <c r="D64" i="4"/>
  <c r="C64" i="4"/>
  <c r="N63" i="4"/>
  <c r="M63" i="4"/>
  <c r="L63" i="4"/>
  <c r="K63" i="4"/>
  <c r="J63" i="4"/>
  <c r="I63" i="4"/>
  <c r="H63" i="4"/>
  <c r="G63" i="4"/>
  <c r="F63" i="4"/>
  <c r="E63" i="4"/>
  <c r="D63" i="4"/>
  <c r="C63" i="4"/>
  <c r="O63" i="4" s="1"/>
  <c r="E19" i="5" s="1"/>
  <c r="N62" i="4"/>
  <c r="M62" i="4"/>
  <c r="L62" i="4"/>
  <c r="K62" i="4"/>
  <c r="J62" i="4"/>
  <c r="I62" i="4"/>
  <c r="H62" i="4"/>
  <c r="G62" i="4"/>
  <c r="F62" i="4"/>
  <c r="E62" i="4"/>
  <c r="D62" i="4"/>
  <c r="C62" i="4"/>
  <c r="N61" i="4"/>
  <c r="M61" i="4"/>
  <c r="L61" i="4"/>
  <c r="K61" i="4"/>
  <c r="J61" i="4"/>
  <c r="I61" i="4"/>
  <c r="H61" i="4"/>
  <c r="G61" i="4"/>
  <c r="F61" i="4"/>
  <c r="E61" i="4"/>
  <c r="D61" i="4"/>
  <c r="C61" i="4"/>
  <c r="O61" i="4" s="1"/>
  <c r="E17" i="5" s="1"/>
  <c r="N46" i="4"/>
  <c r="M46" i="4"/>
  <c r="L46" i="4"/>
  <c r="K46" i="4"/>
  <c r="J46" i="4"/>
  <c r="I46" i="4"/>
  <c r="H46" i="4"/>
  <c r="G46" i="4"/>
  <c r="F46" i="4"/>
  <c r="E46" i="4"/>
  <c r="D46" i="4"/>
  <c r="C46" i="4"/>
  <c r="B45" i="4"/>
  <c r="C39" i="4"/>
  <c r="C38" i="4"/>
  <c r="N30" i="4"/>
  <c r="M30" i="4"/>
  <c r="L30" i="4"/>
  <c r="K30" i="4"/>
  <c r="J30" i="4"/>
  <c r="I30" i="4"/>
  <c r="H30" i="4"/>
  <c r="G30" i="4"/>
  <c r="F30" i="4"/>
  <c r="E30" i="4"/>
  <c r="D30" i="4"/>
  <c r="C30" i="4"/>
  <c r="O30" i="4" s="1"/>
  <c r="C24" i="5" s="1"/>
  <c r="N29" i="4"/>
  <c r="M29" i="4"/>
  <c r="L29" i="4"/>
  <c r="K29" i="4"/>
  <c r="J29" i="4"/>
  <c r="I29" i="4"/>
  <c r="H29" i="4"/>
  <c r="G29" i="4"/>
  <c r="F29" i="4"/>
  <c r="E29" i="4"/>
  <c r="D29" i="4"/>
  <c r="C29" i="4"/>
  <c r="O29" i="4" s="1"/>
  <c r="C23" i="5" s="1"/>
  <c r="N28" i="4"/>
  <c r="M28" i="4"/>
  <c r="L28" i="4"/>
  <c r="K28" i="4"/>
  <c r="J28" i="4"/>
  <c r="I28" i="4"/>
  <c r="H28" i="4"/>
  <c r="G28" i="4"/>
  <c r="F28" i="4"/>
  <c r="E28" i="4"/>
  <c r="D28" i="4"/>
  <c r="C28" i="4"/>
  <c r="N27" i="4"/>
  <c r="M27" i="4"/>
  <c r="L27" i="4"/>
  <c r="K27" i="4"/>
  <c r="J27" i="4"/>
  <c r="I27" i="4"/>
  <c r="H27" i="4"/>
  <c r="G27" i="4"/>
  <c r="F27" i="4"/>
  <c r="E27" i="4"/>
  <c r="D27" i="4"/>
  <c r="C27" i="4"/>
  <c r="O27" i="4" s="1"/>
  <c r="C21" i="5" s="1"/>
  <c r="N26" i="4"/>
  <c r="M26" i="4"/>
  <c r="L26" i="4"/>
  <c r="K26" i="4"/>
  <c r="J26" i="4"/>
  <c r="I26" i="4"/>
  <c r="H26" i="4"/>
  <c r="G26" i="4"/>
  <c r="F26" i="4"/>
  <c r="E26" i="4"/>
  <c r="D26" i="4"/>
  <c r="C26" i="4"/>
  <c r="O26" i="4" s="1"/>
  <c r="C20" i="5" s="1"/>
  <c r="N25" i="4"/>
  <c r="M25" i="4"/>
  <c r="L25" i="4"/>
  <c r="K25" i="4"/>
  <c r="J25" i="4"/>
  <c r="I25" i="4"/>
  <c r="H25" i="4"/>
  <c r="G25" i="4"/>
  <c r="F25" i="4"/>
  <c r="E25" i="4"/>
  <c r="D25" i="4"/>
  <c r="C25" i="4"/>
  <c r="O25" i="4" s="1"/>
  <c r="C19" i="5" s="1"/>
  <c r="N24" i="4"/>
  <c r="M24" i="4"/>
  <c r="L24" i="4"/>
  <c r="K24" i="4"/>
  <c r="J24" i="4"/>
  <c r="I24" i="4"/>
  <c r="H24" i="4"/>
  <c r="G24" i="4"/>
  <c r="F24" i="4"/>
  <c r="E24" i="4"/>
  <c r="D24" i="4"/>
  <c r="C24" i="4"/>
  <c r="O24" i="4" s="1"/>
  <c r="C18" i="5" s="1"/>
  <c r="N23" i="4"/>
  <c r="M23" i="4"/>
  <c r="L23" i="4"/>
  <c r="K23" i="4"/>
  <c r="J23" i="4"/>
  <c r="I23" i="4"/>
  <c r="H23" i="4"/>
  <c r="G23" i="4"/>
  <c r="F23" i="4"/>
  <c r="E23" i="4"/>
  <c r="D23" i="4"/>
  <c r="C23" i="4"/>
  <c r="O23" i="4" s="1"/>
  <c r="C17" i="5" s="1"/>
  <c r="C11" i="4"/>
  <c r="N8" i="4"/>
  <c r="M8" i="4"/>
  <c r="L8" i="4"/>
  <c r="K8" i="4"/>
  <c r="J8" i="4"/>
  <c r="I8" i="4"/>
  <c r="H8" i="4"/>
  <c r="G8" i="4"/>
  <c r="F8" i="4"/>
  <c r="E8" i="4"/>
  <c r="D8" i="4"/>
  <c r="C8" i="4"/>
  <c r="B7" i="4"/>
  <c r="B56" i="3"/>
  <c r="B7" i="3"/>
  <c r="B2" i="3"/>
  <c r="B1" i="3"/>
  <c r="C108" i="2"/>
  <c r="C107" i="2"/>
  <c r="C86" i="2"/>
  <c r="C83" i="2"/>
  <c r="F82" i="2"/>
  <c r="G82" i="2" s="1"/>
  <c r="F81" i="2"/>
  <c r="G81" i="2" s="1"/>
  <c r="F80" i="2"/>
  <c r="G80" i="2" s="1"/>
  <c r="F79" i="2"/>
  <c r="G79" i="2" s="1"/>
  <c r="F78" i="2"/>
  <c r="G78" i="2" s="1"/>
  <c r="F77" i="2"/>
  <c r="C67" i="2"/>
  <c r="D66" i="2"/>
  <c r="B66" i="2"/>
  <c r="D65" i="2"/>
  <c r="B65" i="2"/>
  <c r="D64" i="2"/>
  <c r="B64" i="2"/>
  <c r="D63" i="2"/>
  <c r="B63" i="2"/>
  <c r="D62" i="2"/>
  <c r="B62" i="2"/>
  <c r="D61" i="2"/>
  <c r="B61" i="2"/>
  <c r="D60" i="2"/>
  <c r="B60" i="2"/>
  <c r="D59" i="2"/>
  <c r="B59" i="2"/>
  <c r="D58" i="2"/>
  <c r="B58" i="2"/>
  <c r="D57" i="2"/>
  <c r="B57" i="2"/>
  <c r="D56" i="2"/>
  <c r="B56" i="2"/>
  <c r="D55" i="2"/>
  <c r="B55" i="2"/>
  <c r="E45" i="2"/>
  <c r="F45" i="2" s="1"/>
  <c r="C45" i="2"/>
  <c r="D44" i="2"/>
  <c r="D43" i="2"/>
  <c r="D42" i="2"/>
  <c r="D41" i="2"/>
  <c r="C26" i="2"/>
  <c r="C25" i="2"/>
  <c r="D19" i="2"/>
  <c r="F14" i="2"/>
  <c r="F13" i="2"/>
  <c r="F12" i="2"/>
  <c r="D8" i="2"/>
  <c r="O102" i="4" l="1"/>
  <c r="G20" i="5" s="1"/>
  <c r="O100" i="4"/>
  <c r="G18" i="5" s="1"/>
  <c r="O64" i="4"/>
  <c r="E20" i="5" s="1"/>
  <c r="O62" i="4"/>
  <c r="E18" i="5" s="1"/>
  <c r="C33" i="2"/>
  <c r="O28" i="4"/>
  <c r="C22" i="5" s="1"/>
  <c r="G43" i="5"/>
  <c r="E43" i="5"/>
  <c r="C43" i="5"/>
  <c r="C40" i="4"/>
  <c r="C13" i="4"/>
  <c r="O11" i="4"/>
  <c r="C60" i="4"/>
  <c r="M22" i="4"/>
  <c r="K22" i="4"/>
  <c r="L22" i="4"/>
  <c r="H22" i="4"/>
  <c r="J22" i="4"/>
  <c r="C98" i="4"/>
  <c r="D98" i="4"/>
  <c r="D22" i="4"/>
  <c r="E98" i="4"/>
  <c r="G60" i="4"/>
  <c r="F98" i="4"/>
  <c r="E60" i="4"/>
  <c r="F60" i="4"/>
  <c r="K60" i="4"/>
  <c r="G98" i="4"/>
  <c r="L60" i="4"/>
  <c r="M60" i="4"/>
  <c r="N60" i="4"/>
  <c r="H98" i="4"/>
  <c r="I22" i="4"/>
  <c r="E22" i="4"/>
  <c r="C22" i="4"/>
  <c r="I98" i="4"/>
  <c r="J98" i="4"/>
  <c r="F22" i="4"/>
  <c r="K98" i="4"/>
  <c r="H60" i="4"/>
  <c r="L98" i="4"/>
  <c r="I60" i="4"/>
  <c r="G22" i="4"/>
  <c r="M98" i="4"/>
  <c r="N98" i="4"/>
  <c r="N22" i="4"/>
  <c r="D60" i="4"/>
  <c r="J60" i="4"/>
  <c r="G77" i="2"/>
  <c r="G83" i="2" s="1"/>
  <c r="F83" i="2"/>
  <c r="O70" i="6"/>
  <c r="O86" i="6"/>
  <c r="O74" i="6"/>
  <c r="D7" i="6"/>
  <c r="D9" i="6" s="1"/>
  <c r="O65" i="6"/>
  <c r="O72" i="6"/>
  <c r="O75" i="6"/>
  <c r="O76" i="6"/>
  <c r="O77" i="6"/>
  <c r="O64" i="6"/>
  <c r="E7" i="6"/>
  <c r="E9" i="6" s="1"/>
  <c r="O87" i="6"/>
  <c r="O78" i="6"/>
  <c r="O79" i="6"/>
  <c r="O73" i="6"/>
  <c r="O63" i="6"/>
  <c r="O62" i="6"/>
  <c r="O61" i="6"/>
  <c r="O56" i="6"/>
  <c r="O57" i="6"/>
  <c r="O90" i="6"/>
  <c r="O58" i="6"/>
  <c r="O67" i="6"/>
  <c r="O89" i="6"/>
  <c r="O59" i="6"/>
  <c r="O80" i="6"/>
  <c r="O81" i="6"/>
  <c r="O91" i="6"/>
  <c r="O60" i="6"/>
  <c r="C7" i="6"/>
  <c r="C9" i="6" s="1"/>
  <c r="O82" i="6"/>
  <c r="O83" i="6"/>
  <c r="O68" i="6"/>
  <c r="O69" i="6"/>
  <c r="D45" i="2"/>
  <c r="O88" i="6"/>
  <c r="O71" i="6"/>
  <c r="O84" i="6"/>
  <c r="O85" i="6"/>
  <c r="O66" i="6"/>
  <c r="C109" i="2"/>
  <c r="C34" i="5"/>
  <c r="E34" i="5"/>
  <c r="G34" i="5"/>
  <c r="C23" i="6"/>
  <c r="B6" i="3" s="1"/>
  <c r="C12" i="4"/>
  <c r="C14" i="4" s="1"/>
  <c r="DQ56" i="6"/>
  <c r="DP56" i="6" s="1"/>
  <c r="DM56" i="6"/>
  <c r="DL56" i="6" s="1"/>
  <c r="DI56" i="6"/>
  <c r="DH56" i="6" s="1"/>
  <c r="CK56" i="6"/>
  <c r="CJ56" i="6" s="1"/>
  <c r="CK57" i="6" s="1"/>
  <c r="CG56" i="6"/>
  <c r="CF56" i="6" s="1"/>
  <c r="CG57" i="6" s="1"/>
  <c r="BU56" i="6"/>
  <c r="BT56" i="6" s="1"/>
  <c r="BU57" i="6" s="1"/>
  <c r="AO56" i="6"/>
  <c r="AN56" i="6" s="1"/>
  <c r="AO57" i="6" s="1"/>
  <c r="AK56" i="6"/>
  <c r="AJ56" i="6" s="1"/>
  <c r="AK57" i="6" s="1"/>
  <c r="AG56" i="6"/>
  <c r="AF56" i="6" s="1"/>
  <c r="AG57" i="6" s="1"/>
  <c r="DQ57" i="6"/>
  <c r="DM57" i="6"/>
  <c r="DI57" i="6"/>
  <c r="DE57" i="6"/>
  <c r="DA57" i="6"/>
  <c r="CW57" i="6"/>
  <c r="CS57" i="6"/>
  <c r="DE56" i="6"/>
  <c r="DD56" i="6" s="1"/>
  <c r="DA56" i="6"/>
  <c r="CZ56" i="6" s="1"/>
  <c r="CW56" i="6"/>
  <c r="CV56" i="6" s="1"/>
  <c r="CS56" i="6"/>
  <c r="CR56" i="6" s="1"/>
  <c r="CO56" i="6"/>
  <c r="CN56" i="6" s="1"/>
  <c r="CO57" i="6" s="1"/>
  <c r="CC56" i="6"/>
  <c r="CB56" i="6" s="1"/>
  <c r="CC57" i="6" s="1"/>
  <c r="BY56" i="6"/>
  <c r="BX56" i="6" s="1"/>
  <c r="BY57" i="6" s="1"/>
  <c r="BQ56" i="6"/>
  <c r="BP56" i="6" s="1"/>
  <c r="BQ57" i="6" s="1"/>
  <c r="BM56" i="6"/>
  <c r="BL56" i="6" s="1"/>
  <c r="BM57" i="6" s="1"/>
  <c r="BI56" i="6"/>
  <c r="BH56" i="6" s="1"/>
  <c r="BI57" i="6" s="1"/>
  <c r="BE56" i="6"/>
  <c r="BD56" i="6" s="1"/>
  <c r="BE57" i="6" s="1"/>
  <c r="BA56" i="6"/>
  <c r="AZ56" i="6" s="1"/>
  <c r="BA57" i="6" s="1"/>
  <c r="AW56" i="6"/>
  <c r="AV56" i="6" s="1"/>
  <c r="AW57" i="6" s="1"/>
  <c r="AS56" i="6"/>
  <c r="AR56" i="6" s="1"/>
  <c r="AS57" i="6" s="1"/>
  <c r="AC56" i="6"/>
  <c r="AB56" i="6" s="1"/>
  <c r="AC57" i="6" s="1"/>
  <c r="Y56" i="6"/>
  <c r="X56" i="6" s="1"/>
  <c r="Y57" i="6" s="1"/>
  <c r="C73" i="2"/>
  <c r="D73" i="2" s="1"/>
  <c r="C41" i="4" l="1"/>
  <c r="C16" i="4"/>
  <c r="C56" i="6"/>
  <c r="D11" i="4"/>
  <c r="C18" i="4"/>
  <c r="N21" i="4"/>
  <c r="N31" i="4" s="1"/>
  <c r="G59" i="4"/>
  <c r="G69" i="4" s="1"/>
  <c r="H21" i="4"/>
  <c r="H31" i="4" s="1"/>
  <c r="J21" i="4"/>
  <c r="J31" i="4" s="1"/>
  <c r="F21" i="4"/>
  <c r="F31" i="4" s="1"/>
  <c r="C95" i="2"/>
  <c r="D95" i="2"/>
  <c r="C21" i="4"/>
  <c r="E21" i="4"/>
  <c r="E31" i="4" s="1"/>
  <c r="G21" i="4"/>
  <c r="G31" i="4" s="1"/>
  <c r="I21" i="4"/>
  <c r="I31" i="4" s="1"/>
  <c r="M21" i="4"/>
  <c r="M31" i="4" s="1"/>
  <c r="F59" i="4"/>
  <c r="F69" i="4" s="1"/>
  <c r="E59" i="4"/>
  <c r="E69" i="4" s="1"/>
  <c r="C97" i="4"/>
  <c r="D97" i="4"/>
  <c r="D107" i="4" s="1"/>
  <c r="E97" i="4"/>
  <c r="E107" i="4" s="1"/>
  <c r="F97" i="4"/>
  <c r="F107" i="4" s="1"/>
  <c r="G97" i="4"/>
  <c r="G107" i="4" s="1"/>
  <c r="H97" i="4"/>
  <c r="H107" i="4" s="1"/>
  <c r="I97" i="4"/>
  <c r="I107" i="4" s="1"/>
  <c r="J97" i="4"/>
  <c r="J107" i="4" s="1"/>
  <c r="K97" i="4"/>
  <c r="K107" i="4" s="1"/>
  <c r="L97" i="4"/>
  <c r="L107" i="4" s="1"/>
  <c r="M97" i="4"/>
  <c r="M107" i="4" s="1"/>
  <c r="N97" i="4"/>
  <c r="N107" i="4" s="1"/>
  <c r="J59" i="4"/>
  <c r="J69" i="4" s="1"/>
  <c r="N59" i="4"/>
  <c r="N69" i="4" s="1"/>
  <c r="D21" i="4"/>
  <c r="D31" i="4" s="1"/>
  <c r="C59" i="4"/>
  <c r="H59" i="4"/>
  <c r="H69" i="4" s="1"/>
  <c r="I59" i="4"/>
  <c r="I69" i="4" s="1"/>
  <c r="K59" i="4"/>
  <c r="K69" i="4" s="1"/>
  <c r="L59" i="4"/>
  <c r="L69" i="4" s="1"/>
  <c r="M59" i="4"/>
  <c r="M69" i="4" s="1"/>
  <c r="K21" i="4"/>
  <c r="K31" i="4" s="1"/>
  <c r="L21" i="4"/>
  <c r="L31" i="4" s="1"/>
  <c r="D59" i="4"/>
  <c r="D69" i="4" s="1"/>
  <c r="D10" i="6"/>
  <c r="D12" i="6"/>
  <c r="E10" i="6"/>
  <c r="E12" i="6"/>
  <c r="C10" i="6"/>
  <c r="C12" i="6"/>
  <c r="I55" i="6"/>
  <c r="D109" i="2"/>
  <c r="C42" i="5"/>
  <c r="E42" i="5"/>
  <c r="G42" i="5"/>
  <c r="C17" i="4"/>
  <c r="DP57" i="6"/>
  <c r="DL57" i="6"/>
  <c r="DH57" i="6"/>
  <c r="CJ57" i="6"/>
  <c r="CF57" i="6"/>
  <c r="BT57" i="6"/>
  <c r="AN57" i="6"/>
  <c r="AJ57" i="6"/>
  <c r="AF57" i="6"/>
  <c r="DD57" i="6"/>
  <c r="CZ57" i="6"/>
  <c r="CV57" i="6"/>
  <c r="CR57" i="6"/>
  <c r="CN57" i="6"/>
  <c r="CB57" i="6"/>
  <c r="BX57" i="6"/>
  <c r="BP57" i="6"/>
  <c r="BL57" i="6"/>
  <c r="BH57" i="6"/>
  <c r="BD57" i="6"/>
  <c r="AZ57" i="6"/>
  <c r="AV57" i="6"/>
  <c r="AR57" i="6"/>
  <c r="AB57" i="6"/>
  <c r="X57" i="6"/>
  <c r="O60" i="4"/>
  <c r="E16" i="5" s="1"/>
  <c r="O98" i="4"/>
  <c r="G16" i="5" s="1"/>
  <c r="O22" i="4"/>
  <c r="C16" i="5" s="1"/>
  <c r="D39" i="4" l="1"/>
  <c r="C19" i="4"/>
  <c r="D13" i="4"/>
  <c r="D12" i="4" s="1"/>
  <c r="D14" i="4" s="1"/>
  <c r="C34" i="4"/>
  <c r="R67" i="6"/>
  <c r="R72" i="6"/>
  <c r="R61" i="6"/>
  <c r="R63" i="6"/>
  <c r="R59" i="6"/>
  <c r="C13" i="6"/>
  <c r="D13" i="6"/>
  <c r="E13" i="6"/>
  <c r="O21" i="4"/>
  <c r="C15" i="5" s="1"/>
  <c r="C31" i="4"/>
  <c r="R58" i="6"/>
  <c r="R60" i="6"/>
  <c r="R62" i="6"/>
  <c r="R66" i="6"/>
  <c r="R71" i="6"/>
  <c r="R70" i="6"/>
  <c r="O97" i="4"/>
  <c r="G15" i="5" s="1"/>
  <c r="C107" i="4"/>
  <c r="R81" i="6"/>
  <c r="R82" i="6"/>
  <c r="R83" i="6"/>
  <c r="R84" i="6"/>
  <c r="R85" i="6"/>
  <c r="R86" i="6"/>
  <c r="R87" i="6"/>
  <c r="R88" i="6"/>
  <c r="R89" i="6"/>
  <c r="R90" i="6"/>
  <c r="R91" i="6"/>
  <c r="R75" i="6"/>
  <c r="R79" i="6"/>
  <c r="R57" i="6"/>
  <c r="C69" i="4"/>
  <c r="O59" i="4"/>
  <c r="E15" i="5" s="1"/>
  <c r="R73" i="6"/>
  <c r="R74" i="6"/>
  <c r="R76" i="6"/>
  <c r="R77" i="6"/>
  <c r="R78" i="6"/>
  <c r="R64" i="6"/>
  <c r="R65" i="6"/>
  <c r="R69" i="6"/>
  <c r="S55" i="6"/>
  <c r="T55" i="6"/>
  <c r="DQ58" i="6"/>
  <c r="DP58" i="6" s="1"/>
  <c r="DM58" i="6"/>
  <c r="DL58" i="6" s="1"/>
  <c r="DI58" i="6"/>
  <c r="DH58" i="6"/>
  <c r="CK58" i="6"/>
  <c r="CJ58" i="6" s="1"/>
  <c r="CG58" i="6"/>
  <c r="CF58" i="6"/>
  <c r="BU58" i="6"/>
  <c r="BT58" i="6"/>
  <c r="AO58" i="6"/>
  <c r="AN58" i="6"/>
  <c r="AK58" i="6"/>
  <c r="AJ58" i="6"/>
  <c r="AG58" i="6"/>
  <c r="AF58" i="6" s="1"/>
  <c r="DE58" i="6"/>
  <c r="DD58" i="6" s="1"/>
  <c r="DA58" i="6"/>
  <c r="CZ58" i="6" s="1"/>
  <c r="CW58" i="6"/>
  <c r="CV58" i="6" s="1"/>
  <c r="CS58" i="6"/>
  <c r="CR58" i="6" s="1"/>
  <c r="CO58" i="6"/>
  <c r="CN58" i="6" s="1"/>
  <c r="CC58" i="6"/>
  <c r="CB58" i="6"/>
  <c r="BY58" i="6"/>
  <c r="BX58" i="6" s="1"/>
  <c r="BQ58" i="6"/>
  <c r="BP58" i="6"/>
  <c r="BM58" i="6"/>
  <c r="BL58" i="6" s="1"/>
  <c r="BI58" i="6"/>
  <c r="BH58" i="6" s="1"/>
  <c r="BE58" i="6"/>
  <c r="BD58" i="6" s="1"/>
  <c r="BA58" i="6"/>
  <c r="AZ58" i="6"/>
  <c r="AW58" i="6"/>
  <c r="AV58" i="6"/>
  <c r="AS58" i="6"/>
  <c r="AR58" i="6"/>
  <c r="AC58" i="6"/>
  <c r="AB58" i="6"/>
  <c r="Y58" i="6"/>
  <c r="X58" i="6" s="1"/>
  <c r="CX57" i="6" l="1"/>
  <c r="CY57" i="6" s="1"/>
  <c r="DN57" i="6"/>
  <c r="DO57" i="6" s="1"/>
  <c r="DJ57" i="6"/>
  <c r="DK57" i="6" s="1"/>
  <c r="CL57" i="6"/>
  <c r="CM57" i="6" s="1"/>
  <c r="AD57" i="6"/>
  <c r="AE57" i="6" s="1"/>
  <c r="AP57" i="6"/>
  <c r="AQ57" i="6" s="1"/>
  <c r="AL57" i="6"/>
  <c r="AM57" i="6" s="1"/>
  <c r="AH57" i="6"/>
  <c r="AI57" i="6" s="1"/>
  <c r="DF57" i="6"/>
  <c r="DG57" i="6" s="1"/>
  <c r="DB57" i="6"/>
  <c r="DC57" i="6" s="1"/>
  <c r="DR57" i="6"/>
  <c r="DS57" i="6" s="1"/>
  <c r="CT57" i="6"/>
  <c r="CU57" i="6" s="1"/>
  <c r="CP57" i="6"/>
  <c r="CQ57" i="6" s="1"/>
  <c r="CD57" i="6"/>
  <c r="CE57" i="6" s="1"/>
  <c r="BZ57" i="6"/>
  <c r="CA57" i="6" s="1"/>
  <c r="BR57" i="6"/>
  <c r="BS57" i="6" s="1"/>
  <c r="BN57" i="6"/>
  <c r="BO57" i="6" s="1"/>
  <c r="BJ57" i="6"/>
  <c r="BK57" i="6" s="1"/>
  <c r="BF57" i="6"/>
  <c r="BG57" i="6" s="1"/>
  <c r="AX57" i="6"/>
  <c r="AY57" i="6" s="1"/>
  <c r="AT57" i="6"/>
  <c r="AU57" i="6" s="1"/>
  <c r="Z57" i="6"/>
  <c r="AA57" i="6" s="1"/>
  <c r="D38" i="4"/>
  <c r="E56" i="6"/>
  <c r="C33" i="4"/>
  <c r="D17" i="4"/>
  <c r="D16" i="4"/>
  <c r="D18" i="4"/>
  <c r="E11" i="4"/>
  <c r="C57" i="6"/>
  <c r="C14" i="6"/>
  <c r="D14" i="6"/>
  <c r="E14" i="6"/>
  <c r="C25" i="5"/>
  <c r="O31" i="4"/>
  <c r="R56" i="6"/>
  <c r="G25" i="5"/>
  <c r="O107" i="4"/>
  <c r="R80" i="6"/>
  <c r="O69" i="4"/>
  <c r="R68" i="6"/>
  <c r="E25" i="5"/>
  <c r="DQ59" i="6"/>
  <c r="DP59" i="6" s="1"/>
  <c r="DR58" i="6"/>
  <c r="DS58" i="6" s="1"/>
  <c r="DM59" i="6"/>
  <c r="DN58" i="6"/>
  <c r="DO58" i="6" s="1"/>
  <c r="DL59" i="6"/>
  <c r="DI59" i="6"/>
  <c r="DH59" i="6" s="1"/>
  <c r="DJ58" i="6"/>
  <c r="DK58" i="6" s="1"/>
  <c r="CK59" i="6"/>
  <c r="CJ59" i="6" s="1"/>
  <c r="CL58" i="6"/>
  <c r="CM58" i="6" s="1"/>
  <c r="CG59" i="6"/>
  <c r="CF59" i="6" s="1"/>
  <c r="CH58" i="6"/>
  <c r="CI58" i="6" s="1"/>
  <c r="BU59" i="6"/>
  <c r="BT59" i="6" s="1"/>
  <c r="BV58" i="6"/>
  <c r="BW58" i="6" s="1"/>
  <c r="AO59" i="6"/>
  <c r="AN59" i="6" s="1"/>
  <c r="AP58" i="6"/>
  <c r="AQ58" i="6" s="1"/>
  <c r="AK59" i="6"/>
  <c r="AL58" i="6"/>
  <c r="AM58" i="6" s="1"/>
  <c r="AJ59" i="6"/>
  <c r="AG59" i="6"/>
  <c r="AH58" i="6"/>
  <c r="AI58" i="6" s="1"/>
  <c r="AF59" i="6"/>
  <c r="DE59" i="6"/>
  <c r="DD59" i="6" s="1"/>
  <c r="DF58" i="6"/>
  <c r="DG58" i="6" s="1"/>
  <c r="DA59" i="6"/>
  <c r="CZ59" i="6" s="1"/>
  <c r="DB58" i="6"/>
  <c r="DC58" i="6" s="1"/>
  <c r="CW59" i="6"/>
  <c r="CX58" i="6"/>
  <c r="CY58" i="6" s="1"/>
  <c r="CV59" i="6"/>
  <c r="CS59" i="6"/>
  <c r="CR59" i="6" s="1"/>
  <c r="CT58" i="6"/>
  <c r="CU58" i="6" s="1"/>
  <c r="CO59" i="6"/>
  <c r="CP58" i="6"/>
  <c r="CQ58" i="6" s="1"/>
  <c r="CN59" i="6"/>
  <c r="CC59" i="6"/>
  <c r="CB59" i="6" s="1"/>
  <c r="CD58" i="6"/>
  <c r="CE58" i="6" s="1"/>
  <c r="BY59" i="6"/>
  <c r="BX59" i="6" s="1"/>
  <c r="BZ58" i="6"/>
  <c r="CA58" i="6" s="1"/>
  <c r="BQ59" i="6"/>
  <c r="BP59" i="6" s="1"/>
  <c r="BR58" i="6"/>
  <c r="BS58" i="6" s="1"/>
  <c r="BM59" i="6"/>
  <c r="BL59" i="6" s="1"/>
  <c r="BN58" i="6"/>
  <c r="BO58" i="6" s="1"/>
  <c r="BI59" i="6"/>
  <c r="BJ58" i="6"/>
  <c r="BK58" i="6" s="1"/>
  <c r="BH59" i="6"/>
  <c r="BE59" i="6"/>
  <c r="BD59" i="6" s="1"/>
  <c r="BF58" i="6"/>
  <c r="BG58" i="6" s="1"/>
  <c r="BA59" i="6"/>
  <c r="AZ59" i="6" s="1"/>
  <c r="BB58" i="6"/>
  <c r="BC58" i="6" s="1"/>
  <c r="AW59" i="6"/>
  <c r="AV59" i="6" s="1"/>
  <c r="AX58" i="6"/>
  <c r="AY58" i="6" s="1"/>
  <c r="AS59" i="6"/>
  <c r="AR59" i="6" s="1"/>
  <c r="AT58" i="6"/>
  <c r="AU58" i="6" s="1"/>
  <c r="AC59" i="6"/>
  <c r="AB59" i="6" s="1"/>
  <c r="AD58" i="6"/>
  <c r="AE58" i="6" s="1"/>
  <c r="Y59" i="6"/>
  <c r="Z58" i="6"/>
  <c r="AA58" i="6" s="1"/>
  <c r="X59" i="6"/>
  <c r="CH57" i="6"/>
  <c r="CI57" i="6" s="1"/>
  <c r="BV57" i="6"/>
  <c r="BW57" i="6" s="1"/>
  <c r="BB57" i="6"/>
  <c r="BC57" i="6" s="1"/>
  <c r="D40" i="4" l="1"/>
  <c r="C35" i="4"/>
  <c r="D19" i="4"/>
  <c r="D34" i="4"/>
  <c r="E13" i="4"/>
  <c r="E12" i="4" s="1"/>
  <c r="E14" i="4" s="1"/>
  <c r="D56" i="6"/>
  <c r="D58" i="6"/>
  <c r="D55" i="6"/>
  <c r="D57" i="6"/>
  <c r="D59" i="6"/>
  <c r="D60" i="6"/>
  <c r="D61" i="6"/>
  <c r="D62" i="6"/>
  <c r="D63" i="6"/>
  <c r="D64" i="6"/>
  <c r="D65" i="6"/>
  <c r="D66" i="6"/>
  <c r="D67" i="6"/>
  <c r="J6" i="3"/>
  <c r="D68" i="6"/>
  <c r="D69" i="6"/>
  <c r="D70" i="6"/>
  <c r="D72" i="6"/>
  <c r="D73" i="6"/>
  <c r="D74" i="6"/>
  <c r="D75" i="6"/>
  <c r="D76" i="6"/>
  <c r="D77" i="6"/>
  <c r="D71" i="6"/>
  <c r="D79" i="6"/>
  <c r="D78" i="6"/>
  <c r="D89" i="6"/>
  <c r="D91" i="6"/>
  <c r="D80" i="6"/>
  <c r="D81" i="6"/>
  <c r="D83" i="6"/>
  <c r="D84" i="6"/>
  <c r="D82" i="6"/>
  <c r="D85" i="6"/>
  <c r="D86" i="6"/>
  <c r="D87" i="6"/>
  <c r="D88" i="6"/>
  <c r="D90" i="6"/>
  <c r="Z56" i="6"/>
  <c r="AD56" i="6"/>
  <c r="AT56" i="6"/>
  <c r="AX56" i="6"/>
  <c r="BB56" i="6"/>
  <c r="BF56" i="6"/>
  <c r="BJ56" i="6"/>
  <c r="BN56" i="6"/>
  <c r="BR56" i="6"/>
  <c r="BZ56" i="6"/>
  <c r="CD56" i="6"/>
  <c r="CP56" i="6"/>
  <c r="DF56" i="6"/>
  <c r="AH56" i="6"/>
  <c r="CL56" i="6"/>
  <c r="DR56" i="6"/>
  <c r="CT56" i="6"/>
  <c r="DB56" i="6"/>
  <c r="AL56" i="6"/>
  <c r="AP56" i="6"/>
  <c r="CH56" i="6"/>
  <c r="DN56" i="6"/>
  <c r="CX56" i="6"/>
  <c r="BV56" i="6"/>
  <c r="DJ56" i="6"/>
  <c r="DQ60" i="6"/>
  <c r="DP60" i="6" s="1"/>
  <c r="DR59" i="6"/>
  <c r="DS59" i="6" s="1"/>
  <c r="DM60" i="6"/>
  <c r="DN59" i="6"/>
  <c r="DO59" i="6" s="1"/>
  <c r="DL60" i="6"/>
  <c r="DI60" i="6"/>
  <c r="DH60" i="6" s="1"/>
  <c r="DJ59" i="6"/>
  <c r="DK59" i="6" s="1"/>
  <c r="CK60" i="6"/>
  <c r="CJ60" i="6" s="1"/>
  <c r="CL59" i="6"/>
  <c r="CM59" i="6" s="1"/>
  <c r="CG60" i="6"/>
  <c r="CF60" i="6" s="1"/>
  <c r="CH59" i="6"/>
  <c r="CI59" i="6" s="1"/>
  <c r="BU60" i="6"/>
  <c r="BT60" i="6" s="1"/>
  <c r="BV59" i="6"/>
  <c r="BW59" i="6" s="1"/>
  <c r="AO60" i="6"/>
  <c r="AP59" i="6"/>
  <c r="AQ59" i="6" s="1"/>
  <c r="AN60" i="6"/>
  <c r="AK60" i="6"/>
  <c r="AJ60" i="6" s="1"/>
  <c r="AL59" i="6"/>
  <c r="AM59" i="6" s="1"/>
  <c r="AG60" i="6"/>
  <c r="AH59" i="6"/>
  <c r="AI59" i="6" s="1"/>
  <c r="AF60" i="6"/>
  <c r="DE60" i="6"/>
  <c r="DD60" i="6" s="1"/>
  <c r="DF59" i="6"/>
  <c r="DG59" i="6" s="1"/>
  <c r="DA60" i="6"/>
  <c r="DB59" i="6"/>
  <c r="DC59" i="6" s="1"/>
  <c r="CZ60" i="6"/>
  <c r="CW60" i="6"/>
  <c r="CV60" i="6" s="1"/>
  <c r="CX59" i="6"/>
  <c r="CY59" i="6" s="1"/>
  <c r="CS60" i="6"/>
  <c r="CT59" i="6"/>
  <c r="CU59" i="6" s="1"/>
  <c r="CR60" i="6"/>
  <c r="CO60" i="6"/>
  <c r="CN60" i="6" s="1"/>
  <c r="CP59" i="6"/>
  <c r="CQ59" i="6" s="1"/>
  <c r="CC60" i="6"/>
  <c r="CB60" i="6" s="1"/>
  <c r="CD59" i="6"/>
  <c r="CE59" i="6" s="1"/>
  <c r="BY60" i="6"/>
  <c r="BZ59" i="6"/>
  <c r="CA59" i="6" s="1"/>
  <c r="BX60" i="6"/>
  <c r="BQ60" i="6"/>
  <c r="BP60" i="6" s="1"/>
  <c r="BR59" i="6"/>
  <c r="BS59" i="6" s="1"/>
  <c r="BM60" i="6"/>
  <c r="BL60" i="6" s="1"/>
  <c r="BN59" i="6"/>
  <c r="BO59" i="6" s="1"/>
  <c r="BI60" i="6"/>
  <c r="BH60" i="6" s="1"/>
  <c r="BJ59" i="6"/>
  <c r="BK59" i="6" s="1"/>
  <c r="BE60" i="6"/>
  <c r="BD60" i="6" s="1"/>
  <c r="BF59" i="6"/>
  <c r="BG59" i="6" s="1"/>
  <c r="BA60" i="6"/>
  <c r="AZ60" i="6" s="1"/>
  <c r="BB59" i="6"/>
  <c r="BC59" i="6" s="1"/>
  <c r="AW60" i="6"/>
  <c r="AV60" i="6" s="1"/>
  <c r="AX59" i="6"/>
  <c r="AY59" i="6" s="1"/>
  <c r="AS60" i="6"/>
  <c r="AR60" i="6" s="1"/>
  <c r="AT59" i="6"/>
  <c r="AU59" i="6" s="1"/>
  <c r="AC60" i="6"/>
  <c r="AB60" i="6" s="1"/>
  <c r="AD59" i="6"/>
  <c r="AE59" i="6" s="1"/>
  <c r="Y60" i="6"/>
  <c r="X60" i="6" s="1"/>
  <c r="Z59" i="6"/>
  <c r="AA59" i="6" s="1"/>
  <c r="D41" i="4" l="1"/>
  <c r="F56" i="6"/>
  <c r="C36" i="4"/>
  <c r="E57" i="6"/>
  <c r="D33" i="4"/>
  <c r="E17" i="4"/>
  <c r="E16" i="4"/>
  <c r="E18" i="4"/>
  <c r="C58" i="6"/>
  <c r="F11" i="4"/>
  <c r="AA56" i="6"/>
  <c r="AE56" i="6"/>
  <c r="AU56" i="6"/>
  <c r="AY56" i="6"/>
  <c r="BC56" i="6"/>
  <c r="BG56" i="6"/>
  <c r="BK56" i="6"/>
  <c r="BO56" i="6"/>
  <c r="BS56" i="6"/>
  <c r="CA56" i="6"/>
  <c r="CE56" i="6"/>
  <c r="CQ56" i="6"/>
  <c r="DG56" i="6"/>
  <c r="AI56" i="6"/>
  <c r="CM56" i="6"/>
  <c r="DS56" i="6"/>
  <c r="CU56" i="6"/>
  <c r="DC56" i="6"/>
  <c r="AM56" i="6"/>
  <c r="AQ56" i="6"/>
  <c r="CI56" i="6"/>
  <c r="DO56" i="6"/>
  <c r="CY56" i="6"/>
  <c r="G39" i="6" s="1"/>
  <c r="BW56" i="6"/>
  <c r="DK56" i="6"/>
  <c r="DQ61" i="6"/>
  <c r="DP61" i="6" s="1"/>
  <c r="DR60" i="6"/>
  <c r="DM61" i="6"/>
  <c r="DL61" i="6" s="1"/>
  <c r="DN60" i="6"/>
  <c r="DI61" i="6"/>
  <c r="DH61" i="6" s="1"/>
  <c r="DJ60" i="6"/>
  <c r="CK61" i="6"/>
  <c r="CL60" i="6"/>
  <c r="CM60" i="6" s="1"/>
  <c r="CJ61" i="6"/>
  <c r="CG61" i="6"/>
  <c r="CF61" i="6"/>
  <c r="CH60" i="6"/>
  <c r="BU61" i="6"/>
  <c r="BT61" i="6"/>
  <c r="BV60" i="6"/>
  <c r="AO61" i="6"/>
  <c r="AN61" i="6" s="1"/>
  <c r="AP60" i="6"/>
  <c r="AK61" i="6"/>
  <c r="AJ61" i="6" s="1"/>
  <c r="AL60" i="6"/>
  <c r="AG61" i="6"/>
  <c r="AF61" i="6" s="1"/>
  <c r="AH60" i="6"/>
  <c r="DE61" i="6"/>
  <c r="DD61" i="6" s="1"/>
  <c r="DF60" i="6"/>
  <c r="DA61" i="6"/>
  <c r="DB60" i="6"/>
  <c r="CZ61" i="6"/>
  <c r="CW61" i="6"/>
  <c r="CX60" i="6"/>
  <c r="CY60" i="6" s="1"/>
  <c r="CV61" i="6"/>
  <c r="CS61" i="6"/>
  <c r="CR61" i="6"/>
  <c r="CT60" i="6"/>
  <c r="CO61" i="6"/>
  <c r="CN61" i="6" s="1"/>
  <c r="CP60" i="6"/>
  <c r="CQ60" i="6" s="1"/>
  <c r="CC61" i="6"/>
  <c r="CB61" i="6" s="1"/>
  <c r="CD60" i="6"/>
  <c r="CE60" i="6" s="1"/>
  <c r="BY61" i="6"/>
  <c r="BX61" i="6" s="1"/>
  <c r="BZ60" i="6"/>
  <c r="CA60" i="6" s="1"/>
  <c r="BQ61" i="6"/>
  <c r="BP61" i="6" s="1"/>
  <c r="BR60" i="6"/>
  <c r="BM61" i="6"/>
  <c r="BL61" i="6" s="1"/>
  <c r="BN60" i="6"/>
  <c r="BI61" i="6"/>
  <c r="BJ60" i="6"/>
  <c r="BH61" i="6"/>
  <c r="BE61" i="6"/>
  <c r="BD61" i="6" s="1"/>
  <c r="BF60" i="6"/>
  <c r="BA61" i="6"/>
  <c r="BB60" i="6"/>
  <c r="AZ61" i="6"/>
  <c r="AW61" i="6"/>
  <c r="AV61" i="6" s="1"/>
  <c r="AX60" i="6"/>
  <c r="AS61" i="6"/>
  <c r="AR61" i="6" s="1"/>
  <c r="AT60" i="6"/>
  <c r="AC61" i="6"/>
  <c r="AD60" i="6"/>
  <c r="AB61" i="6"/>
  <c r="Y61" i="6"/>
  <c r="X61" i="6" s="1"/>
  <c r="Z60" i="6"/>
  <c r="E39" i="4" l="1"/>
  <c r="G56" i="6"/>
  <c r="J56" i="6" s="1"/>
  <c r="C42" i="4"/>
  <c r="D35" i="4"/>
  <c r="E19" i="4"/>
  <c r="E34" i="4"/>
  <c r="F13" i="4"/>
  <c r="F12" i="4" s="1"/>
  <c r="F14" i="4" s="1"/>
  <c r="DQ62" i="6"/>
  <c r="DP62" i="6" s="1"/>
  <c r="DR61" i="6"/>
  <c r="DM62" i="6"/>
  <c r="DL62" i="6" s="1"/>
  <c r="DN61" i="6"/>
  <c r="DI62" i="6"/>
  <c r="DH62" i="6" s="1"/>
  <c r="DJ61" i="6"/>
  <c r="CK62" i="6"/>
  <c r="CJ62" i="6" s="1"/>
  <c r="CL61" i="6"/>
  <c r="CG62" i="6"/>
  <c r="CF62" i="6" s="1"/>
  <c r="CH61" i="6"/>
  <c r="BU62" i="6"/>
  <c r="BT62" i="6" s="1"/>
  <c r="BV61" i="6"/>
  <c r="BW61" i="6" s="1"/>
  <c r="AO62" i="6"/>
  <c r="AN62" i="6" s="1"/>
  <c r="AP61" i="6"/>
  <c r="AK62" i="6"/>
  <c r="AL61" i="6"/>
  <c r="AJ62" i="6"/>
  <c r="AG62" i="6"/>
  <c r="AH61" i="6"/>
  <c r="AF62" i="6"/>
  <c r="DE62" i="6"/>
  <c r="DD62" i="6" s="1"/>
  <c r="DF61" i="6"/>
  <c r="DA62" i="6"/>
  <c r="CZ62" i="6" s="1"/>
  <c r="DB61" i="6"/>
  <c r="CW62" i="6"/>
  <c r="CV62" i="6" s="1"/>
  <c r="CX61" i="6"/>
  <c r="CS62" i="6"/>
  <c r="CT61" i="6"/>
  <c r="CR62" i="6"/>
  <c r="CO62" i="6"/>
  <c r="CN62" i="6" s="1"/>
  <c r="CP61" i="6"/>
  <c r="CC62" i="6"/>
  <c r="CB62" i="6" s="1"/>
  <c r="CD61" i="6"/>
  <c r="BY62" i="6"/>
  <c r="BX62" i="6" s="1"/>
  <c r="BZ61" i="6"/>
  <c r="BQ62" i="6"/>
  <c r="BP62" i="6" s="1"/>
  <c r="BR61" i="6"/>
  <c r="BM62" i="6"/>
  <c r="BL62" i="6" s="1"/>
  <c r="BN61" i="6"/>
  <c r="BI62" i="6"/>
  <c r="BH62" i="6" s="1"/>
  <c r="BJ61" i="6"/>
  <c r="BE62" i="6"/>
  <c r="BD62" i="6" s="1"/>
  <c r="BF61" i="6"/>
  <c r="BA62" i="6"/>
  <c r="AZ62" i="6" s="1"/>
  <c r="BB61" i="6"/>
  <c r="AW62" i="6"/>
  <c r="AV62" i="6" s="1"/>
  <c r="AX61" i="6"/>
  <c r="AS62" i="6"/>
  <c r="AR62" i="6" s="1"/>
  <c r="AT61" i="6"/>
  <c r="AC62" i="6"/>
  <c r="AD61" i="6"/>
  <c r="AB62" i="6"/>
  <c r="Y62" i="6"/>
  <c r="X62" i="6" s="1"/>
  <c r="Z61" i="6"/>
  <c r="DS60" i="6"/>
  <c r="G40" i="6" s="1"/>
  <c r="DO60" i="6"/>
  <c r="F40" i="6" s="1"/>
  <c r="DK60" i="6"/>
  <c r="E40" i="6" s="1"/>
  <c r="CI60" i="6"/>
  <c r="BW60" i="6"/>
  <c r="AQ60" i="6"/>
  <c r="AM60" i="6"/>
  <c r="AI60" i="6"/>
  <c r="DG60" i="6"/>
  <c r="D40" i="6" s="1"/>
  <c r="DC60" i="6"/>
  <c r="CU60" i="6"/>
  <c r="F39" i="6" s="1"/>
  <c r="BS60" i="6"/>
  <c r="BO60" i="6"/>
  <c r="BK60" i="6"/>
  <c r="BG60" i="6"/>
  <c r="BC60" i="6"/>
  <c r="AY60" i="6"/>
  <c r="AU60" i="6"/>
  <c r="AE60" i="6"/>
  <c r="AA60" i="6"/>
  <c r="E38" i="4" l="1"/>
  <c r="V56" i="6"/>
  <c r="C43" i="4"/>
  <c r="H56" i="6"/>
  <c r="D36" i="4"/>
  <c r="F57" i="6"/>
  <c r="E58" i="6"/>
  <c r="E33" i="4"/>
  <c r="F17" i="4"/>
  <c r="G11" i="4"/>
  <c r="F18" i="4"/>
  <c r="C59" i="6"/>
  <c r="F16" i="4"/>
  <c r="DQ63" i="6"/>
  <c r="DR62" i="6"/>
  <c r="DS62" i="6" s="1"/>
  <c r="DP63" i="6"/>
  <c r="DM63" i="6"/>
  <c r="DL63" i="6" s="1"/>
  <c r="DN62" i="6"/>
  <c r="DO62" i="6" s="1"/>
  <c r="DI63" i="6"/>
  <c r="DH63" i="6" s="1"/>
  <c r="DJ62" i="6"/>
  <c r="DK62" i="6" s="1"/>
  <c r="CM61" i="6"/>
  <c r="CK63" i="6"/>
  <c r="CJ63" i="6" s="1"/>
  <c r="CL62" i="6"/>
  <c r="CG63" i="6"/>
  <c r="CF63" i="6" s="1"/>
  <c r="CH62" i="6"/>
  <c r="CI62" i="6" s="1"/>
  <c r="BU63" i="6"/>
  <c r="BV62" i="6"/>
  <c r="BT63" i="6"/>
  <c r="AO63" i="6"/>
  <c r="AN63" i="6" s="1"/>
  <c r="AP62" i="6"/>
  <c r="AQ62" i="6" s="1"/>
  <c r="AK63" i="6"/>
  <c r="AJ63" i="6" s="1"/>
  <c r="AL62" i="6"/>
  <c r="AM62" i="6" s="1"/>
  <c r="AG63" i="6"/>
  <c r="AF63" i="6" s="1"/>
  <c r="AH62" i="6"/>
  <c r="AI62" i="6" s="1"/>
  <c r="DE63" i="6"/>
  <c r="DF62" i="6"/>
  <c r="DG62" i="6" s="1"/>
  <c r="DD63" i="6"/>
  <c r="DA63" i="6"/>
  <c r="CZ63" i="6" s="1"/>
  <c r="DB62" i="6"/>
  <c r="DC62" i="6" s="1"/>
  <c r="CY61" i="6"/>
  <c r="CW63" i="6"/>
  <c r="CX62" i="6"/>
  <c r="CY62" i="6" s="1"/>
  <c r="CV63" i="6"/>
  <c r="CS63" i="6"/>
  <c r="CR63" i="6" s="1"/>
  <c r="CT62" i="6"/>
  <c r="CU62" i="6" s="1"/>
  <c r="CQ61" i="6"/>
  <c r="E39" i="6" s="1"/>
  <c r="CO63" i="6"/>
  <c r="CP62" i="6"/>
  <c r="CN63" i="6"/>
  <c r="CE61" i="6"/>
  <c r="CC63" i="6"/>
  <c r="CB63" i="6" s="1"/>
  <c r="CD62" i="6"/>
  <c r="CA61" i="6"/>
  <c r="BY63" i="6"/>
  <c r="BX63" i="6" s="1"/>
  <c r="BZ62" i="6"/>
  <c r="BQ63" i="6"/>
  <c r="BP63" i="6" s="1"/>
  <c r="BR62" i="6"/>
  <c r="BS62" i="6" s="1"/>
  <c r="BM63" i="6"/>
  <c r="BL63" i="6" s="1"/>
  <c r="BN62" i="6"/>
  <c r="BO62" i="6" s="1"/>
  <c r="BI63" i="6"/>
  <c r="BH63" i="6" s="1"/>
  <c r="BJ62" i="6"/>
  <c r="BK62" i="6" s="1"/>
  <c r="BE63" i="6"/>
  <c r="BD63" i="6" s="1"/>
  <c r="BF62" i="6"/>
  <c r="BG62" i="6" s="1"/>
  <c r="BA63" i="6"/>
  <c r="AZ63" i="6" s="1"/>
  <c r="BB62" i="6"/>
  <c r="BC62" i="6" s="1"/>
  <c r="AW63" i="6"/>
  <c r="AX62" i="6"/>
  <c r="AY62" i="6" s="1"/>
  <c r="AV63" i="6"/>
  <c r="AS63" i="6"/>
  <c r="AT62" i="6"/>
  <c r="AU62" i="6" s="1"/>
  <c r="AR63" i="6"/>
  <c r="AC63" i="6"/>
  <c r="AB63" i="6" s="1"/>
  <c r="AD62" i="6"/>
  <c r="AE62" i="6" s="1"/>
  <c r="Y63" i="6"/>
  <c r="X63" i="6" s="1"/>
  <c r="Z62" i="6"/>
  <c r="AA62" i="6" s="1"/>
  <c r="DS61" i="6"/>
  <c r="DO61" i="6"/>
  <c r="DK61" i="6"/>
  <c r="CI61" i="6"/>
  <c r="AQ61" i="6"/>
  <c r="AM61" i="6"/>
  <c r="AI61" i="6"/>
  <c r="DG61" i="6"/>
  <c r="DC61" i="6"/>
  <c r="C40" i="6" s="1"/>
  <c r="CU61" i="6"/>
  <c r="BS61" i="6"/>
  <c r="BO61" i="6"/>
  <c r="BK61" i="6"/>
  <c r="BG61" i="6"/>
  <c r="BC61" i="6"/>
  <c r="AY61" i="6"/>
  <c r="AU61" i="6"/>
  <c r="AE61" i="6"/>
  <c r="AA61" i="6"/>
  <c r="E40" i="4" l="1"/>
  <c r="I56" i="6"/>
  <c r="D42" i="4"/>
  <c r="D43" i="4" s="1"/>
  <c r="G57" i="6"/>
  <c r="J57" i="6" s="1"/>
  <c r="E35" i="4"/>
  <c r="G13" i="4"/>
  <c r="G12" i="4" s="1"/>
  <c r="G14" i="4" s="1"/>
  <c r="F34" i="4"/>
  <c r="F19" i="4"/>
  <c r="DQ64" i="6"/>
  <c r="DP64" i="6" s="1"/>
  <c r="DR63" i="6"/>
  <c r="DS63" i="6" s="1"/>
  <c r="DM64" i="6"/>
  <c r="DN63" i="6"/>
  <c r="DO63" i="6" s="1"/>
  <c r="DL64" i="6"/>
  <c r="DI64" i="6"/>
  <c r="DJ63" i="6"/>
  <c r="DK63" i="6" s="1"/>
  <c r="DH64" i="6"/>
  <c r="CK64" i="6"/>
  <c r="CJ64" i="6" s="1"/>
  <c r="CL63" i="6"/>
  <c r="CM63" i="6" s="1"/>
  <c r="CG64" i="6"/>
  <c r="CH63" i="6"/>
  <c r="CI63" i="6" s="1"/>
  <c r="CF64" i="6"/>
  <c r="BW62" i="6"/>
  <c r="BU64" i="6"/>
  <c r="BT64" i="6" s="1"/>
  <c r="BV63" i="6"/>
  <c r="BW63" i="6" s="1"/>
  <c r="AO64" i="6"/>
  <c r="AN64" i="6" s="1"/>
  <c r="AP63" i="6"/>
  <c r="AQ63" i="6" s="1"/>
  <c r="AK64" i="6"/>
  <c r="AJ64" i="6" s="1"/>
  <c r="AL63" i="6"/>
  <c r="AM63" i="6" s="1"/>
  <c r="AG64" i="6"/>
  <c r="AF64" i="6" s="1"/>
  <c r="AH63" i="6"/>
  <c r="AI63" i="6" s="1"/>
  <c r="DE64" i="6"/>
  <c r="DD64" i="6" s="1"/>
  <c r="DF63" i="6"/>
  <c r="DG63" i="6" s="1"/>
  <c r="DA64" i="6"/>
  <c r="CZ64" i="6" s="1"/>
  <c r="DB63" i="6"/>
  <c r="DC63" i="6" s="1"/>
  <c r="CW64" i="6"/>
  <c r="CV64" i="6" s="1"/>
  <c r="CX63" i="6"/>
  <c r="CS64" i="6"/>
  <c r="CR64" i="6" s="1"/>
  <c r="CT63" i="6"/>
  <c r="CU63" i="6" s="1"/>
  <c r="CO64" i="6"/>
  <c r="CN64" i="6" s="1"/>
  <c r="CP63" i="6"/>
  <c r="CQ63" i="6" s="1"/>
  <c r="CC64" i="6"/>
  <c r="CB64" i="6" s="1"/>
  <c r="CD63" i="6"/>
  <c r="CE63" i="6" s="1"/>
  <c r="BY64" i="6"/>
  <c r="BX64" i="6" s="1"/>
  <c r="BZ63" i="6"/>
  <c r="CA63" i="6" s="1"/>
  <c r="BQ64" i="6"/>
  <c r="BP64" i="6" s="1"/>
  <c r="BR63" i="6"/>
  <c r="BS63" i="6" s="1"/>
  <c r="BM64" i="6"/>
  <c r="BN63" i="6"/>
  <c r="BO63" i="6" s="1"/>
  <c r="BL64" i="6"/>
  <c r="BI64" i="6"/>
  <c r="BJ63" i="6"/>
  <c r="BK63" i="6" s="1"/>
  <c r="BH64" i="6"/>
  <c r="BE64" i="6"/>
  <c r="BD64" i="6" s="1"/>
  <c r="BF63" i="6"/>
  <c r="BG63" i="6" s="1"/>
  <c r="BA64" i="6"/>
  <c r="BB63" i="6"/>
  <c r="BC63" i="6" s="1"/>
  <c r="AZ64" i="6"/>
  <c r="AW64" i="6"/>
  <c r="AX63" i="6"/>
  <c r="AY63" i="6" s="1"/>
  <c r="AV64" i="6"/>
  <c r="AS64" i="6"/>
  <c r="AT63" i="6"/>
  <c r="AU63" i="6" s="1"/>
  <c r="AR64" i="6"/>
  <c r="AC64" i="6"/>
  <c r="AB64" i="6" s="1"/>
  <c r="AD63" i="6"/>
  <c r="AE63" i="6" s="1"/>
  <c r="Y64" i="6"/>
  <c r="X64" i="6" s="1"/>
  <c r="Z63" i="6"/>
  <c r="AA63" i="6" s="1"/>
  <c r="CM62" i="6"/>
  <c r="D39" i="6" s="1"/>
  <c r="CQ62" i="6"/>
  <c r="CE62" i="6"/>
  <c r="G38" i="6" s="1"/>
  <c r="CA62" i="6"/>
  <c r="E41" i="4" l="1"/>
  <c r="I57" i="6"/>
  <c r="S56" i="6"/>
  <c r="T56" i="6"/>
  <c r="H57" i="6"/>
  <c r="V57" i="6"/>
  <c r="E36" i="4"/>
  <c r="F58" i="6"/>
  <c r="G17" i="4"/>
  <c r="G18" i="4"/>
  <c r="G16" i="4"/>
  <c r="H11" i="4"/>
  <c r="C60" i="6"/>
  <c r="F33" i="4"/>
  <c r="E59" i="6"/>
  <c r="DQ65" i="6"/>
  <c r="DR64" i="6"/>
  <c r="DS64" i="6" s="1"/>
  <c r="DP65" i="6"/>
  <c r="DM65" i="6"/>
  <c r="DL65" i="6" s="1"/>
  <c r="DN64" i="6"/>
  <c r="DO64" i="6" s="1"/>
  <c r="DI65" i="6"/>
  <c r="DH65" i="6" s="1"/>
  <c r="DJ64" i="6"/>
  <c r="DK64" i="6" s="1"/>
  <c r="CK65" i="6"/>
  <c r="CJ65" i="6" s="1"/>
  <c r="CL64" i="6"/>
  <c r="CM64" i="6" s="1"/>
  <c r="CG65" i="6"/>
  <c r="CF65" i="6" s="1"/>
  <c r="CH64" i="6"/>
  <c r="CI64" i="6" s="1"/>
  <c r="BU65" i="6"/>
  <c r="BT65" i="6" s="1"/>
  <c r="BV64" i="6"/>
  <c r="BW64" i="6" s="1"/>
  <c r="AO65" i="6"/>
  <c r="AN65" i="6" s="1"/>
  <c r="AP64" i="6"/>
  <c r="AQ64" i="6" s="1"/>
  <c r="AK65" i="6"/>
  <c r="AJ65" i="6" s="1"/>
  <c r="AL64" i="6"/>
  <c r="AM64" i="6" s="1"/>
  <c r="AG65" i="6"/>
  <c r="AF65" i="6" s="1"/>
  <c r="AH64" i="6"/>
  <c r="AI64" i="6" s="1"/>
  <c r="DE65" i="6"/>
  <c r="DD65" i="6" s="1"/>
  <c r="DF64" i="6"/>
  <c r="DG64" i="6" s="1"/>
  <c r="DA65" i="6"/>
  <c r="CZ65" i="6" s="1"/>
  <c r="DB64" i="6"/>
  <c r="DC64" i="6" s="1"/>
  <c r="CY63" i="6"/>
  <c r="CW65" i="6"/>
  <c r="CV65" i="6" s="1"/>
  <c r="CX64" i="6"/>
  <c r="CY64" i="6" s="1"/>
  <c r="CS65" i="6"/>
  <c r="CR65" i="6" s="1"/>
  <c r="CT64" i="6"/>
  <c r="CU64" i="6" s="1"/>
  <c r="CO65" i="6"/>
  <c r="CP64" i="6"/>
  <c r="CQ64" i="6" s="1"/>
  <c r="CN65" i="6"/>
  <c r="CC65" i="6"/>
  <c r="CD64" i="6"/>
  <c r="CE64" i="6" s="1"/>
  <c r="CB65" i="6"/>
  <c r="BY65" i="6"/>
  <c r="BZ64" i="6"/>
  <c r="CA64" i="6" s="1"/>
  <c r="BX65" i="6"/>
  <c r="BQ65" i="6"/>
  <c r="BP65" i="6" s="1"/>
  <c r="BR64" i="6"/>
  <c r="BS64" i="6" s="1"/>
  <c r="BM65" i="6"/>
  <c r="BL65" i="6" s="1"/>
  <c r="BN64" i="6"/>
  <c r="BO64" i="6" s="1"/>
  <c r="BI65" i="6"/>
  <c r="BH65" i="6" s="1"/>
  <c r="BJ64" i="6"/>
  <c r="BK64" i="6" s="1"/>
  <c r="BE65" i="6"/>
  <c r="BD65" i="6" s="1"/>
  <c r="BF64" i="6"/>
  <c r="BG64" i="6" s="1"/>
  <c r="BA65" i="6"/>
  <c r="AZ65" i="6" s="1"/>
  <c r="BB64" i="6"/>
  <c r="BC64" i="6" s="1"/>
  <c r="AW65" i="6"/>
  <c r="AV65" i="6" s="1"/>
  <c r="AX64" i="6"/>
  <c r="AY64" i="6" s="1"/>
  <c r="AS65" i="6"/>
  <c r="AR65" i="6" s="1"/>
  <c r="AT64" i="6"/>
  <c r="AU64" i="6" s="1"/>
  <c r="AC65" i="6"/>
  <c r="AB65" i="6" s="1"/>
  <c r="AD64" i="6"/>
  <c r="AE64" i="6" s="1"/>
  <c r="Y65" i="6"/>
  <c r="Z64" i="6"/>
  <c r="AA64" i="6" s="1"/>
  <c r="X65" i="6"/>
  <c r="F38" i="6"/>
  <c r="F39" i="4" l="1"/>
  <c r="S57" i="6"/>
  <c r="T57" i="6"/>
  <c r="E42" i="4"/>
  <c r="G58" i="6"/>
  <c r="J58" i="6" s="1"/>
  <c r="G34" i="4"/>
  <c r="G19" i="4"/>
  <c r="H13" i="4"/>
  <c r="H12" i="4" s="1"/>
  <c r="H14" i="4" s="1"/>
  <c r="F35" i="4"/>
  <c r="DQ66" i="6"/>
  <c r="DP66" i="6" s="1"/>
  <c r="DR65" i="6"/>
  <c r="DS65" i="6" s="1"/>
  <c r="DM66" i="6"/>
  <c r="DL66" i="6" s="1"/>
  <c r="DN65" i="6"/>
  <c r="DO65" i="6" s="1"/>
  <c r="DI66" i="6"/>
  <c r="DH66" i="6" s="1"/>
  <c r="DJ65" i="6"/>
  <c r="DK65" i="6" s="1"/>
  <c r="CK66" i="6"/>
  <c r="CJ66" i="6" s="1"/>
  <c r="CL65" i="6"/>
  <c r="CM65" i="6" s="1"/>
  <c r="CG66" i="6"/>
  <c r="CF66" i="6" s="1"/>
  <c r="CH65" i="6"/>
  <c r="CI65" i="6" s="1"/>
  <c r="BU66" i="6"/>
  <c r="BT66" i="6" s="1"/>
  <c r="BV65" i="6"/>
  <c r="BW65" i="6" s="1"/>
  <c r="AO66" i="6"/>
  <c r="AN66" i="6" s="1"/>
  <c r="AP65" i="6"/>
  <c r="AQ65" i="6" s="1"/>
  <c r="AK66" i="6"/>
  <c r="AL65" i="6"/>
  <c r="AM65" i="6" s="1"/>
  <c r="AJ66" i="6"/>
  <c r="AG66" i="6"/>
  <c r="AF66" i="6" s="1"/>
  <c r="AH65" i="6"/>
  <c r="AI65" i="6" s="1"/>
  <c r="DE66" i="6"/>
  <c r="DD66" i="6"/>
  <c r="DF65" i="6"/>
  <c r="DG65" i="6" s="1"/>
  <c r="DA66" i="6"/>
  <c r="DB65" i="6"/>
  <c r="DC65" i="6" s="1"/>
  <c r="CZ66" i="6"/>
  <c r="CW66" i="6"/>
  <c r="CV66" i="6" s="1"/>
  <c r="CX65" i="6"/>
  <c r="CY65" i="6" s="1"/>
  <c r="CS66" i="6"/>
  <c r="CR66" i="6"/>
  <c r="CT65" i="6"/>
  <c r="CU65" i="6" s="1"/>
  <c r="CO66" i="6"/>
  <c r="CN66" i="6" s="1"/>
  <c r="CP65" i="6"/>
  <c r="CQ65" i="6" s="1"/>
  <c r="CC66" i="6"/>
  <c r="CB66" i="6" s="1"/>
  <c r="CD65" i="6"/>
  <c r="CE65" i="6" s="1"/>
  <c r="BY66" i="6"/>
  <c r="BZ65" i="6"/>
  <c r="CA65" i="6" s="1"/>
  <c r="BX66" i="6"/>
  <c r="BQ66" i="6"/>
  <c r="BP66" i="6" s="1"/>
  <c r="BR65" i="6"/>
  <c r="BS65" i="6" s="1"/>
  <c r="BM66" i="6"/>
  <c r="BL66" i="6" s="1"/>
  <c r="BN65" i="6"/>
  <c r="BO65" i="6" s="1"/>
  <c r="BI66" i="6"/>
  <c r="BH66" i="6" s="1"/>
  <c r="BJ65" i="6"/>
  <c r="BK65" i="6" s="1"/>
  <c r="BE66" i="6"/>
  <c r="BD66" i="6" s="1"/>
  <c r="BF65" i="6"/>
  <c r="BG65" i="6" s="1"/>
  <c r="BA66" i="6"/>
  <c r="BB65" i="6"/>
  <c r="BC65" i="6" s="1"/>
  <c r="AZ66" i="6"/>
  <c r="AW66" i="6"/>
  <c r="AV66" i="6" s="1"/>
  <c r="AX65" i="6"/>
  <c r="AY65" i="6" s="1"/>
  <c r="AS66" i="6"/>
  <c r="AR66" i="6" s="1"/>
  <c r="AT65" i="6"/>
  <c r="AU65" i="6" s="1"/>
  <c r="AC66" i="6"/>
  <c r="AD65" i="6"/>
  <c r="AE65" i="6" s="1"/>
  <c r="AB66" i="6"/>
  <c r="Y66" i="6"/>
  <c r="X66" i="6" s="1"/>
  <c r="Z65" i="6"/>
  <c r="AA65" i="6" s="1"/>
  <c r="E38" i="6"/>
  <c r="C20" i="6"/>
  <c r="F38" i="4" l="1"/>
  <c r="E43" i="4"/>
  <c r="H58" i="6"/>
  <c r="V58" i="6"/>
  <c r="G33" i="4"/>
  <c r="E60" i="6"/>
  <c r="H17" i="4"/>
  <c r="H16" i="4"/>
  <c r="I11" i="4"/>
  <c r="H18" i="4"/>
  <c r="C61" i="6"/>
  <c r="F36" i="4"/>
  <c r="F59" i="6"/>
  <c r="DQ67" i="6"/>
  <c r="DP67" i="6" s="1"/>
  <c r="DR66" i="6"/>
  <c r="DS66" i="6" s="1"/>
  <c r="DM67" i="6"/>
  <c r="DN66" i="6"/>
  <c r="DO66" i="6" s="1"/>
  <c r="DL67" i="6"/>
  <c r="DI67" i="6"/>
  <c r="DH67" i="6" s="1"/>
  <c r="DJ66" i="6"/>
  <c r="DK66" i="6" s="1"/>
  <c r="CK67" i="6"/>
  <c r="CL66" i="6"/>
  <c r="CM66" i="6" s="1"/>
  <c r="CJ67" i="6"/>
  <c r="CG67" i="6"/>
  <c r="CH66" i="6"/>
  <c r="CI66" i="6" s="1"/>
  <c r="CF67" i="6"/>
  <c r="BU67" i="6"/>
  <c r="BV66" i="6"/>
  <c r="BW66" i="6" s="1"/>
  <c r="BT67" i="6"/>
  <c r="AO67" i="6"/>
  <c r="AN67" i="6" s="1"/>
  <c r="AP66" i="6"/>
  <c r="AQ66" i="6" s="1"/>
  <c r="AK67" i="6"/>
  <c r="AJ67" i="6" s="1"/>
  <c r="AL66" i="6"/>
  <c r="AM66" i="6" s="1"/>
  <c r="AG67" i="6"/>
  <c r="AF67" i="6" s="1"/>
  <c r="AH66" i="6"/>
  <c r="AI66" i="6" s="1"/>
  <c r="DE67" i="6"/>
  <c r="DD67" i="6" s="1"/>
  <c r="DF66" i="6"/>
  <c r="DG66" i="6" s="1"/>
  <c r="DA67" i="6"/>
  <c r="CZ67" i="6" s="1"/>
  <c r="DB66" i="6"/>
  <c r="DC66" i="6" s="1"/>
  <c r="CW67" i="6"/>
  <c r="CV67" i="6" s="1"/>
  <c r="CX66" i="6"/>
  <c r="CY66" i="6" s="1"/>
  <c r="CS67" i="6"/>
  <c r="CR67" i="6" s="1"/>
  <c r="CT66" i="6"/>
  <c r="CU66" i="6" s="1"/>
  <c r="CO67" i="6"/>
  <c r="CN67" i="6" s="1"/>
  <c r="CP66" i="6"/>
  <c r="CQ66" i="6" s="1"/>
  <c r="CC67" i="6"/>
  <c r="CB67" i="6" s="1"/>
  <c r="CD66" i="6"/>
  <c r="CE66" i="6" s="1"/>
  <c r="BY67" i="6"/>
  <c r="BZ66" i="6"/>
  <c r="CA66" i="6" s="1"/>
  <c r="BX67" i="6"/>
  <c r="BQ67" i="6"/>
  <c r="BP67" i="6" s="1"/>
  <c r="BR66" i="6"/>
  <c r="BS66" i="6" s="1"/>
  <c r="BM67" i="6"/>
  <c r="BN66" i="6"/>
  <c r="BO66" i="6" s="1"/>
  <c r="BL67" i="6"/>
  <c r="BI67" i="6"/>
  <c r="BH67" i="6" s="1"/>
  <c r="BJ66" i="6"/>
  <c r="BK66" i="6" s="1"/>
  <c r="BE67" i="6"/>
  <c r="BD67" i="6" s="1"/>
  <c r="BF66" i="6"/>
  <c r="BG66" i="6" s="1"/>
  <c r="BA67" i="6"/>
  <c r="AZ67" i="6" s="1"/>
  <c r="BB66" i="6"/>
  <c r="BC66" i="6" s="1"/>
  <c r="AW67" i="6"/>
  <c r="AV67" i="6" s="1"/>
  <c r="AX66" i="6"/>
  <c r="AY66" i="6" s="1"/>
  <c r="AS67" i="6"/>
  <c r="AR67" i="6" s="1"/>
  <c r="AT66" i="6"/>
  <c r="AU66" i="6" s="1"/>
  <c r="AC67" i="6"/>
  <c r="AB67" i="6" s="1"/>
  <c r="AD66" i="6"/>
  <c r="AE66" i="6" s="1"/>
  <c r="Y67" i="6"/>
  <c r="X67" i="6" s="1"/>
  <c r="Z66" i="6"/>
  <c r="AA66" i="6" s="1"/>
  <c r="R4" i="4"/>
  <c r="N6" i="3"/>
  <c r="D20" i="6"/>
  <c r="N7" i="3"/>
  <c r="F40" i="4" l="1"/>
  <c r="I58" i="6"/>
  <c r="G35" i="4"/>
  <c r="H19" i="4"/>
  <c r="I12" i="4"/>
  <c r="I14" i="4" s="1"/>
  <c r="I13" i="4"/>
  <c r="H34" i="4"/>
  <c r="F42" i="4"/>
  <c r="F43" i="4" s="1"/>
  <c r="G59" i="6"/>
  <c r="J59" i="6" s="1"/>
  <c r="DQ68" i="6"/>
  <c r="DP68" i="6" s="1"/>
  <c r="DR67" i="6"/>
  <c r="DM68" i="6"/>
  <c r="DL68" i="6" s="1"/>
  <c r="DN67" i="6"/>
  <c r="DI68" i="6"/>
  <c r="DH68" i="6" s="1"/>
  <c r="DJ67" i="6"/>
  <c r="CK68" i="6"/>
  <c r="CJ68" i="6" s="1"/>
  <c r="CL67" i="6"/>
  <c r="CG68" i="6"/>
  <c r="CH67" i="6"/>
  <c r="CF68" i="6"/>
  <c r="BU68" i="6"/>
  <c r="BV67" i="6"/>
  <c r="BT68" i="6"/>
  <c r="AO68" i="6"/>
  <c r="AN68" i="6" s="1"/>
  <c r="AP67" i="6"/>
  <c r="AK68" i="6"/>
  <c r="AL67" i="6"/>
  <c r="AJ68" i="6"/>
  <c r="AG68" i="6"/>
  <c r="AF68" i="6" s="1"/>
  <c r="AH67" i="6"/>
  <c r="DE68" i="6"/>
  <c r="DF67" i="6"/>
  <c r="DD68" i="6"/>
  <c r="DA68" i="6"/>
  <c r="DB67" i="6"/>
  <c r="CZ68" i="6"/>
  <c r="CW68" i="6"/>
  <c r="CX67" i="6"/>
  <c r="CV68" i="6"/>
  <c r="CS68" i="6"/>
  <c r="CT67" i="6"/>
  <c r="CR68" i="6"/>
  <c r="CO68" i="6"/>
  <c r="CN68" i="6" s="1"/>
  <c r="CP67" i="6"/>
  <c r="CC68" i="6"/>
  <c r="CD67" i="6"/>
  <c r="CB68" i="6"/>
  <c r="BY68" i="6"/>
  <c r="BX68" i="6" s="1"/>
  <c r="BZ67" i="6"/>
  <c r="BQ68" i="6"/>
  <c r="BP68" i="6" s="1"/>
  <c r="BR67" i="6"/>
  <c r="BM68" i="6"/>
  <c r="BL68" i="6" s="1"/>
  <c r="BN67" i="6"/>
  <c r="BI68" i="6"/>
  <c r="BH68" i="6" s="1"/>
  <c r="BJ67" i="6"/>
  <c r="BE68" i="6"/>
  <c r="BD68" i="6" s="1"/>
  <c r="BF67" i="6"/>
  <c r="BA68" i="6"/>
  <c r="AZ68" i="6" s="1"/>
  <c r="BB67" i="6"/>
  <c r="AW68" i="6"/>
  <c r="AX67" i="6"/>
  <c r="AV68" i="6"/>
  <c r="AS68" i="6"/>
  <c r="AR68" i="6" s="1"/>
  <c r="AT67" i="6"/>
  <c r="AC68" i="6"/>
  <c r="AD67" i="6"/>
  <c r="AB68" i="6"/>
  <c r="Y68" i="6"/>
  <c r="X68" i="6" s="1"/>
  <c r="Z67" i="6"/>
  <c r="F41" i="4" l="1"/>
  <c r="I59" i="6"/>
  <c r="S58" i="6"/>
  <c r="T58" i="6"/>
  <c r="G36" i="4"/>
  <c r="F60" i="6"/>
  <c r="H33" i="4"/>
  <c r="E61" i="6"/>
  <c r="I17" i="4"/>
  <c r="C62" i="6"/>
  <c r="I16" i="4"/>
  <c r="I18" i="4"/>
  <c r="J11" i="4"/>
  <c r="H59" i="6"/>
  <c r="V59" i="6"/>
  <c r="DS67" i="6"/>
  <c r="DQ69" i="6"/>
  <c r="DP69" i="6" s="1"/>
  <c r="DR68" i="6"/>
  <c r="DS68" i="6" s="1"/>
  <c r="DO67" i="6"/>
  <c r="DM69" i="6"/>
  <c r="DL69" i="6" s="1"/>
  <c r="DN68" i="6"/>
  <c r="DO68" i="6" s="1"/>
  <c r="DK67" i="6"/>
  <c r="DI69" i="6"/>
  <c r="DH69" i="6" s="1"/>
  <c r="DJ68" i="6"/>
  <c r="DK68" i="6" s="1"/>
  <c r="CM67" i="6"/>
  <c r="CK69" i="6"/>
  <c r="CJ69" i="6" s="1"/>
  <c r="CL68" i="6"/>
  <c r="CM68" i="6" s="1"/>
  <c r="CI67" i="6"/>
  <c r="CG69" i="6"/>
  <c r="CF69" i="6" s="1"/>
  <c r="CH68" i="6"/>
  <c r="CI68" i="6" s="1"/>
  <c r="BW67" i="6"/>
  <c r="BU69" i="6"/>
  <c r="BT69" i="6" s="1"/>
  <c r="BV68" i="6"/>
  <c r="BW68" i="6" s="1"/>
  <c r="AQ67" i="6"/>
  <c r="AO69" i="6"/>
  <c r="AN69" i="6" s="1"/>
  <c r="AP68" i="6"/>
  <c r="AQ68" i="6" s="1"/>
  <c r="AM67" i="6"/>
  <c r="AK69" i="6"/>
  <c r="AL68" i="6"/>
  <c r="AM68" i="6" s="1"/>
  <c r="AJ69" i="6"/>
  <c r="AI67" i="6"/>
  <c r="AG69" i="6"/>
  <c r="AF69" i="6" s="1"/>
  <c r="AH68" i="6"/>
  <c r="AI68" i="6" s="1"/>
  <c r="DG67" i="6"/>
  <c r="DE69" i="6"/>
  <c r="DF68" i="6"/>
  <c r="DG68" i="6" s="1"/>
  <c r="DD69" i="6"/>
  <c r="DC67" i="6"/>
  <c r="DA69" i="6"/>
  <c r="CZ69" i="6" s="1"/>
  <c r="DB68" i="6"/>
  <c r="DC68" i="6" s="1"/>
  <c r="CY67" i="6"/>
  <c r="CW69" i="6"/>
  <c r="CX68" i="6"/>
  <c r="CY68" i="6" s="1"/>
  <c r="CV69" i="6"/>
  <c r="CU67" i="6"/>
  <c r="CS69" i="6"/>
  <c r="CT68" i="6"/>
  <c r="CU68" i="6" s="1"/>
  <c r="CR69" i="6"/>
  <c r="CQ67" i="6"/>
  <c r="CO69" i="6"/>
  <c r="CN69" i="6" s="1"/>
  <c r="CP68" i="6"/>
  <c r="CQ68" i="6" s="1"/>
  <c r="CE67" i="6"/>
  <c r="CC69" i="6"/>
  <c r="CB69" i="6" s="1"/>
  <c r="CD68" i="6"/>
  <c r="CE68" i="6" s="1"/>
  <c r="CA67" i="6"/>
  <c r="BY69" i="6"/>
  <c r="BX69" i="6" s="1"/>
  <c r="BZ68" i="6"/>
  <c r="CA68" i="6" s="1"/>
  <c r="BS67" i="6"/>
  <c r="BQ69" i="6"/>
  <c r="BP69" i="6" s="1"/>
  <c r="BR68" i="6"/>
  <c r="BS68" i="6" s="1"/>
  <c r="BO67" i="6"/>
  <c r="BM69" i="6"/>
  <c r="BL69" i="6" s="1"/>
  <c r="BN68" i="6"/>
  <c r="BO68" i="6" s="1"/>
  <c r="BK67" i="6"/>
  <c r="BI69" i="6"/>
  <c r="BH69" i="6" s="1"/>
  <c r="BJ68" i="6"/>
  <c r="BK68" i="6" s="1"/>
  <c r="BG67" i="6"/>
  <c r="BE69" i="6"/>
  <c r="BD69" i="6" s="1"/>
  <c r="BF68" i="6"/>
  <c r="BG68" i="6" s="1"/>
  <c r="BC67" i="6"/>
  <c r="BA69" i="6"/>
  <c r="BB68" i="6"/>
  <c r="BC68" i="6" s="1"/>
  <c r="AZ69" i="6"/>
  <c r="AY67" i="6"/>
  <c r="AW69" i="6"/>
  <c r="AV69" i="6" s="1"/>
  <c r="AX68" i="6"/>
  <c r="AY68" i="6" s="1"/>
  <c r="AU67" i="6"/>
  <c r="AS69" i="6"/>
  <c r="AR69" i="6" s="1"/>
  <c r="AT68" i="6"/>
  <c r="AU68" i="6" s="1"/>
  <c r="AE67" i="6"/>
  <c r="AC69" i="6"/>
  <c r="AD68" i="6"/>
  <c r="AE68" i="6" s="1"/>
  <c r="AB69" i="6"/>
  <c r="AA67" i="6"/>
  <c r="Y69" i="6"/>
  <c r="Z68" i="6"/>
  <c r="AA68" i="6" s="1"/>
  <c r="X69" i="6"/>
  <c r="G39" i="4" l="1"/>
  <c r="S59" i="6"/>
  <c r="T59" i="6"/>
  <c r="G60" i="6"/>
  <c r="J60" i="6" s="1"/>
  <c r="H35" i="4"/>
  <c r="I19" i="4"/>
  <c r="I34" i="4"/>
  <c r="J13" i="4"/>
  <c r="J12" i="4" s="1"/>
  <c r="J14" i="4" s="1"/>
  <c r="V60" i="6"/>
  <c r="DQ70" i="6"/>
  <c r="DP70" i="6" s="1"/>
  <c r="DR69" i="6"/>
  <c r="DS69" i="6" s="1"/>
  <c r="DM70" i="6"/>
  <c r="DN69" i="6"/>
  <c r="DO69" i="6" s="1"/>
  <c r="DL70" i="6"/>
  <c r="DI70" i="6"/>
  <c r="DJ69" i="6"/>
  <c r="DK69" i="6" s="1"/>
  <c r="DH70" i="6"/>
  <c r="CK70" i="6"/>
  <c r="CJ70" i="6" s="1"/>
  <c r="CL69" i="6"/>
  <c r="CM69" i="6" s="1"/>
  <c r="CG70" i="6"/>
  <c r="CF70" i="6" s="1"/>
  <c r="CH69" i="6"/>
  <c r="CI69" i="6" s="1"/>
  <c r="BU70" i="6"/>
  <c r="BT70" i="6" s="1"/>
  <c r="BV69" i="6"/>
  <c r="BW69" i="6" s="1"/>
  <c r="AO70" i="6"/>
  <c r="AN70" i="6" s="1"/>
  <c r="AP69" i="6"/>
  <c r="AQ69" i="6" s="1"/>
  <c r="AK70" i="6"/>
  <c r="AJ70" i="6" s="1"/>
  <c r="AL69" i="6"/>
  <c r="AM69" i="6" s="1"/>
  <c r="AG70" i="6"/>
  <c r="AH69" i="6"/>
  <c r="AI69" i="6" s="1"/>
  <c r="AF70" i="6"/>
  <c r="DE70" i="6"/>
  <c r="DF69" i="6"/>
  <c r="DG69" i="6" s="1"/>
  <c r="DD70" i="6"/>
  <c r="DA70" i="6"/>
  <c r="CZ70" i="6" s="1"/>
  <c r="DB69" i="6"/>
  <c r="DC69" i="6" s="1"/>
  <c r="CW70" i="6"/>
  <c r="CV70" i="6" s="1"/>
  <c r="CX69" i="6"/>
  <c r="CY69" i="6" s="1"/>
  <c r="CS70" i="6"/>
  <c r="CR70" i="6" s="1"/>
  <c r="CT69" i="6"/>
  <c r="CU69" i="6" s="1"/>
  <c r="CO70" i="6"/>
  <c r="CN70" i="6" s="1"/>
  <c r="CP69" i="6"/>
  <c r="CQ69" i="6" s="1"/>
  <c r="CC70" i="6"/>
  <c r="CB70" i="6" s="1"/>
  <c r="CD69" i="6"/>
  <c r="CE69" i="6" s="1"/>
  <c r="BY70" i="6"/>
  <c r="BX70" i="6" s="1"/>
  <c r="BZ69" i="6"/>
  <c r="CA69" i="6" s="1"/>
  <c r="BQ70" i="6"/>
  <c r="BR69" i="6"/>
  <c r="BS69" i="6" s="1"/>
  <c r="BP70" i="6"/>
  <c r="BM70" i="6"/>
  <c r="BL70" i="6" s="1"/>
  <c r="BN69" i="6"/>
  <c r="BO69" i="6" s="1"/>
  <c r="BI70" i="6"/>
  <c r="BH70" i="6" s="1"/>
  <c r="BJ69" i="6"/>
  <c r="BK69" i="6" s="1"/>
  <c r="BE70" i="6"/>
  <c r="BD70" i="6" s="1"/>
  <c r="BF69" i="6"/>
  <c r="BG69" i="6" s="1"/>
  <c r="BA70" i="6"/>
  <c r="BB69" i="6"/>
  <c r="BC69" i="6" s="1"/>
  <c r="AZ70" i="6"/>
  <c r="AW70" i="6"/>
  <c r="AV70" i="6" s="1"/>
  <c r="AX69" i="6"/>
  <c r="AY69" i="6" s="1"/>
  <c r="AS70" i="6"/>
  <c r="AR70" i="6" s="1"/>
  <c r="AT69" i="6"/>
  <c r="AU69" i="6" s="1"/>
  <c r="AC70" i="6"/>
  <c r="AB70" i="6" s="1"/>
  <c r="AD69" i="6"/>
  <c r="AE69" i="6" s="1"/>
  <c r="Y70" i="6"/>
  <c r="X70" i="6" s="1"/>
  <c r="Z69" i="6"/>
  <c r="AA69" i="6" s="1"/>
  <c r="G38" i="4" l="1"/>
  <c r="H36" i="4"/>
  <c r="F61" i="6"/>
  <c r="I33" i="4"/>
  <c r="E62" i="6"/>
  <c r="J17" i="4"/>
  <c r="J18" i="4"/>
  <c r="J16" i="4"/>
  <c r="C63" i="6"/>
  <c r="K11" i="4"/>
  <c r="DQ71" i="6"/>
  <c r="DP71" i="6" s="1"/>
  <c r="DR70" i="6"/>
  <c r="DS70" i="6" s="1"/>
  <c r="DM71" i="6"/>
  <c r="DL71" i="6" s="1"/>
  <c r="DN70" i="6"/>
  <c r="DO70" i="6" s="1"/>
  <c r="DI71" i="6"/>
  <c r="DH71" i="6" s="1"/>
  <c r="DJ70" i="6"/>
  <c r="DK70" i="6" s="1"/>
  <c r="CK71" i="6"/>
  <c r="CJ71" i="6" s="1"/>
  <c r="CL70" i="6"/>
  <c r="CM70" i="6" s="1"/>
  <c r="CG71" i="6"/>
  <c r="CH70" i="6"/>
  <c r="CI70" i="6" s="1"/>
  <c r="CF71" i="6"/>
  <c r="BU71" i="6"/>
  <c r="BT71" i="6" s="1"/>
  <c r="BV70" i="6"/>
  <c r="BW70" i="6" s="1"/>
  <c r="AO71" i="6"/>
  <c r="AP70" i="6"/>
  <c r="AQ70" i="6" s="1"/>
  <c r="AN71" i="6"/>
  <c r="AK71" i="6"/>
  <c r="AJ71" i="6" s="1"/>
  <c r="AL70" i="6"/>
  <c r="AM70" i="6" s="1"/>
  <c r="AG71" i="6"/>
  <c r="AF71" i="6" s="1"/>
  <c r="AH70" i="6"/>
  <c r="AI70" i="6" s="1"/>
  <c r="DE71" i="6"/>
  <c r="DD71" i="6" s="1"/>
  <c r="DF70" i="6"/>
  <c r="DG70" i="6" s="1"/>
  <c r="DA71" i="6"/>
  <c r="CZ71" i="6" s="1"/>
  <c r="DB70" i="6"/>
  <c r="DC70" i="6" s="1"/>
  <c r="CW71" i="6"/>
  <c r="CX70" i="6"/>
  <c r="CY70" i="6" s="1"/>
  <c r="CV71" i="6"/>
  <c r="CS71" i="6"/>
  <c r="CR71" i="6" s="1"/>
  <c r="CT70" i="6"/>
  <c r="CU70" i="6" s="1"/>
  <c r="CO71" i="6"/>
  <c r="CN71" i="6" s="1"/>
  <c r="CP70" i="6"/>
  <c r="CQ70" i="6" s="1"/>
  <c r="CC71" i="6"/>
  <c r="CB71" i="6" s="1"/>
  <c r="CD70" i="6"/>
  <c r="CE70" i="6" s="1"/>
  <c r="BY71" i="6"/>
  <c r="BX71" i="6" s="1"/>
  <c r="BZ70" i="6"/>
  <c r="CA70" i="6" s="1"/>
  <c r="BQ71" i="6"/>
  <c r="BP71" i="6" s="1"/>
  <c r="BR70" i="6"/>
  <c r="BS70" i="6" s="1"/>
  <c r="BM71" i="6"/>
  <c r="BL71" i="6" s="1"/>
  <c r="BN70" i="6"/>
  <c r="BO70" i="6" s="1"/>
  <c r="BI71" i="6"/>
  <c r="BH71" i="6" s="1"/>
  <c r="BJ70" i="6"/>
  <c r="BK70" i="6" s="1"/>
  <c r="BE71" i="6"/>
  <c r="BD71" i="6" s="1"/>
  <c r="BF70" i="6"/>
  <c r="BG70" i="6" s="1"/>
  <c r="BA71" i="6"/>
  <c r="AZ71" i="6" s="1"/>
  <c r="BB70" i="6"/>
  <c r="BC70" i="6" s="1"/>
  <c r="AW71" i="6"/>
  <c r="AV71" i="6" s="1"/>
  <c r="AX70" i="6"/>
  <c r="AY70" i="6" s="1"/>
  <c r="AS71" i="6"/>
  <c r="AR71" i="6" s="1"/>
  <c r="AT70" i="6"/>
  <c r="AU70" i="6" s="1"/>
  <c r="AC71" i="6"/>
  <c r="AB71" i="6" s="1"/>
  <c r="AD70" i="6"/>
  <c r="AE70" i="6" s="1"/>
  <c r="Y71" i="6"/>
  <c r="X71" i="6" s="1"/>
  <c r="Z70" i="6"/>
  <c r="AA70" i="6" s="1"/>
  <c r="G42" i="4" l="1"/>
  <c r="G40" i="4"/>
  <c r="G61" i="6"/>
  <c r="J61" i="6" s="1"/>
  <c r="I35" i="4"/>
  <c r="J34" i="4"/>
  <c r="J19" i="4"/>
  <c r="K13" i="4"/>
  <c r="K12" i="4" s="1"/>
  <c r="K14" i="4" s="1"/>
  <c r="DQ72" i="6"/>
  <c r="DR71" i="6"/>
  <c r="DS71" i="6" s="1"/>
  <c r="DP72" i="6"/>
  <c r="DM72" i="6"/>
  <c r="DN71" i="6"/>
  <c r="DO71" i="6" s="1"/>
  <c r="DL72" i="6"/>
  <c r="DI72" i="6"/>
  <c r="DH72" i="6" s="1"/>
  <c r="DJ71" i="6"/>
  <c r="DK71" i="6" s="1"/>
  <c r="CK72" i="6"/>
  <c r="CL71" i="6"/>
  <c r="CM71" i="6" s="1"/>
  <c r="CJ72" i="6"/>
  <c r="CG72" i="6"/>
  <c r="CF72" i="6" s="1"/>
  <c r="CH71" i="6"/>
  <c r="CI71" i="6" s="1"/>
  <c r="BU72" i="6"/>
  <c r="BT72" i="6" s="1"/>
  <c r="BV71" i="6"/>
  <c r="BW71" i="6" s="1"/>
  <c r="AO72" i="6"/>
  <c r="AN72" i="6" s="1"/>
  <c r="AP71" i="6"/>
  <c r="AQ71" i="6" s="1"/>
  <c r="AK72" i="6"/>
  <c r="AJ72" i="6" s="1"/>
  <c r="AL71" i="6"/>
  <c r="AM71" i="6" s="1"/>
  <c r="AG72" i="6"/>
  <c r="AF72" i="6" s="1"/>
  <c r="AH71" i="6"/>
  <c r="AI71" i="6" s="1"/>
  <c r="DE72" i="6"/>
  <c r="DD72" i="6" s="1"/>
  <c r="DF71" i="6"/>
  <c r="DG71" i="6" s="1"/>
  <c r="DA72" i="6"/>
  <c r="CZ72" i="6" s="1"/>
  <c r="DB71" i="6"/>
  <c r="DC71" i="6" s="1"/>
  <c r="CW72" i="6"/>
  <c r="CX71" i="6"/>
  <c r="CY71" i="6" s="1"/>
  <c r="CV72" i="6"/>
  <c r="CS72" i="6"/>
  <c r="CR72" i="6" s="1"/>
  <c r="CT71" i="6"/>
  <c r="CU71" i="6" s="1"/>
  <c r="CO72" i="6"/>
  <c r="CP71" i="6"/>
  <c r="CQ71" i="6" s="1"/>
  <c r="CN72" i="6"/>
  <c r="CC72" i="6"/>
  <c r="CB72" i="6" s="1"/>
  <c r="CD71" i="6"/>
  <c r="CE71" i="6" s="1"/>
  <c r="BY72" i="6"/>
  <c r="BX72" i="6" s="1"/>
  <c r="BZ71" i="6"/>
  <c r="CA71" i="6" s="1"/>
  <c r="BQ72" i="6"/>
  <c r="BP72" i="6" s="1"/>
  <c r="BR71" i="6"/>
  <c r="BS71" i="6" s="1"/>
  <c r="BM72" i="6"/>
  <c r="BL72" i="6" s="1"/>
  <c r="BN71" i="6"/>
  <c r="BO71" i="6" s="1"/>
  <c r="BI72" i="6"/>
  <c r="BH72" i="6" s="1"/>
  <c r="BJ71" i="6"/>
  <c r="BK71" i="6" s="1"/>
  <c r="BE72" i="6"/>
  <c r="BD72" i="6" s="1"/>
  <c r="BF71" i="6"/>
  <c r="BG71" i="6" s="1"/>
  <c r="BA72" i="6"/>
  <c r="BB71" i="6"/>
  <c r="BC71" i="6" s="1"/>
  <c r="AZ72" i="6"/>
  <c r="AW72" i="6"/>
  <c r="AV72" i="6"/>
  <c r="AX71" i="6"/>
  <c r="AY71" i="6" s="1"/>
  <c r="AS72" i="6"/>
  <c r="AR72" i="6"/>
  <c r="AT71" i="6"/>
  <c r="AU71" i="6" s="1"/>
  <c r="AC72" i="6"/>
  <c r="AB72" i="6"/>
  <c r="AD71" i="6"/>
  <c r="AE71" i="6" s="1"/>
  <c r="Y72" i="6"/>
  <c r="Z71" i="6"/>
  <c r="AA71" i="6" s="1"/>
  <c r="X72" i="6"/>
  <c r="H60" i="6" l="1"/>
  <c r="G43" i="4"/>
  <c r="G41" i="4"/>
  <c r="V61" i="6"/>
  <c r="I36" i="4"/>
  <c r="F62" i="6"/>
  <c r="E63" i="6"/>
  <c r="J33" i="4"/>
  <c r="K17" i="4"/>
  <c r="K16" i="4"/>
  <c r="L11" i="4"/>
  <c r="C64" i="6"/>
  <c r="K18" i="4"/>
  <c r="DQ73" i="6"/>
  <c r="DP73" i="6" s="1"/>
  <c r="DR72" i="6"/>
  <c r="DS72" i="6" s="1"/>
  <c r="DM73" i="6"/>
  <c r="DL73" i="6"/>
  <c r="DN72" i="6"/>
  <c r="DO72" i="6" s="1"/>
  <c r="DI73" i="6"/>
  <c r="DH73" i="6" s="1"/>
  <c r="DJ72" i="6"/>
  <c r="DK72" i="6" s="1"/>
  <c r="CK73" i="6"/>
  <c r="CJ73" i="6" s="1"/>
  <c r="CL72" i="6"/>
  <c r="CM72" i="6" s="1"/>
  <c r="CG73" i="6"/>
  <c r="CF73" i="6" s="1"/>
  <c r="CH72" i="6"/>
  <c r="CI72" i="6" s="1"/>
  <c r="BU73" i="6"/>
  <c r="BT73" i="6" s="1"/>
  <c r="BV72" i="6"/>
  <c r="BW72" i="6" s="1"/>
  <c r="AO73" i="6"/>
  <c r="AN73" i="6" s="1"/>
  <c r="AP72" i="6"/>
  <c r="AQ72" i="6" s="1"/>
  <c r="AK73" i="6"/>
  <c r="AJ73" i="6" s="1"/>
  <c r="AL72" i="6"/>
  <c r="AM72" i="6" s="1"/>
  <c r="AG73" i="6"/>
  <c r="AF73" i="6" s="1"/>
  <c r="AH72" i="6"/>
  <c r="AI72" i="6" s="1"/>
  <c r="DE73" i="6"/>
  <c r="DD73" i="6" s="1"/>
  <c r="DF72" i="6"/>
  <c r="DG72" i="6" s="1"/>
  <c r="DA73" i="6"/>
  <c r="DB72" i="6"/>
  <c r="DC72" i="6" s="1"/>
  <c r="CZ73" i="6"/>
  <c r="CW73" i="6"/>
  <c r="CV73" i="6" s="1"/>
  <c r="CX72" i="6"/>
  <c r="CY72" i="6" s="1"/>
  <c r="CS73" i="6"/>
  <c r="CT72" i="6"/>
  <c r="CU72" i="6" s="1"/>
  <c r="CR73" i="6"/>
  <c r="CO73" i="6"/>
  <c r="CN73" i="6" s="1"/>
  <c r="CP72" i="6"/>
  <c r="CQ72" i="6" s="1"/>
  <c r="CC73" i="6"/>
  <c r="CB73" i="6" s="1"/>
  <c r="CD72" i="6"/>
  <c r="CE72" i="6" s="1"/>
  <c r="BY73" i="6"/>
  <c r="BX73" i="6" s="1"/>
  <c r="BZ72" i="6"/>
  <c r="CA72" i="6" s="1"/>
  <c r="BQ73" i="6"/>
  <c r="BR72" i="6"/>
  <c r="BS72" i="6" s="1"/>
  <c r="BP73" i="6"/>
  <c r="BM73" i="6"/>
  <c r="BN72" i="6"/>
  <c r="BO72" i="6" s="1"/>
  <c r="BL73" i="6"/>
  <c r="BI73" i="6"/>
  <c r="BH73" i="6" s="1"/>
  <c r="BJ72" i="6"/>
  <c r="BK72" i="6" s="1"/>
  <c r="BE73" i="6"/>
  <c r="BF72" i="6"/>
  <c r="BG72" i="6" s="1"/>
  <c r="BD73" i="6"/>
  <c r="BA73" i="6"/>
  <c r="AZ73" i="6" s="1"/>
  <c r="BB72" i="6"/>
  <c r="BC72" i="6" s="1"/>
  <c r="AW73" i="6"/>
  <c r="AV73" i="6" s="1"/>
  <c r="AX72" i="6"/>
  <c r="AY72" i="6" s="1"/>
  <c r="AS73" i="6"/>
  <c r="AT72" i="6"/>
  <c r="AU72" i="6" s="1"/>
  <c r="AR73" i="6"/>
  <c r="AC73" i="6"/>
  <c r="AB73" i="6" s="1"/>
  <c r="AD72" i="6"/>
  <c r="AE72" i="6" s="1"/>
  <c r="Y73" i="6"/>
  <c r="X73" i="6" s="1"/>
  <c r="Z72" i="6"/>
  <c r="AA72" i="6" s="1"/>
  <c r="I60" i="6" l="1"/>
  <c r="H39" i="4"/>
  <c r="G62" i="6"/>
  <c r="J62" i="6" s="1"/>
  <c r="J35" i="4"/>
  <c r="K19" i="4"/>
  <c r="L13" i="4"/>
  <c r="L12" i="4" s="1"/>
  <c r="L14" i="4" s="1"/>
  <c r="K34" i="4"/>
  <c r="DQ74" i="6"/>
  <c r="DP74" i="6" s="1"/>
  <c r="DR73" i="6"/>
  <c r="DS73" i="6" s="1"/>
  <c r="DM74" i="6"/>
  <c r="DL74" i="6" s="1"/>
  <c r="DN73" i="6"/>
  <c r="DO73" i="6" s="1"/>
  <c r="DI74" i="6"/>
  <c r="DH74" i="6" s="1"/>
  <c r="DJ73" i="6"/>
  <c r="DK73" i="6" s="1"/>
  <c r="CK74" i="6"/>
  <c r="CJ74" i="6" s="1"/>
  <c r="CL73" i="6"/>
  <c r="CM73" i="6" s="1"/>
  <c r="CG74" i="6"/>
  <c r="CF74" i="6" s="1"/>
  <c r="CH73" i="6"/>
  <c r="CI73" i="6" s="1"/>
  <c r="BU74" i="6"/>
  <c r="BT74" i="6" s="1"/>
  <c r="BV73" i="6"/>
  <c r="BW73" i="6" s="1"/>
  <c r="AO74" i="6"/>
  <c r="AN74" i="6" s="1"/>
  <c r="AP73" i="6"/>
  <c r="AQ73" i="6" s="1"/>
  <c r="AK74" i="6"/>
  <c r="AJ74" i="6" s="1"/>
  <c r="AL73" i="6"/>
  <c r="AM73" i="6" s="1"/>
  <c r="AG74" i="6"/>
  <c r="AF74" i="6" s="1"/>
  <c r="AH73" i="6"/>
  <c r="AI73" i="6" s="1"/>
  <c r="DE74" i="6"/>
  <c r="DD74" i="6" s="1"/>
  <c r="DF73" i="6"/>
  <c r="DG73" i="6" s="1"/>
  <c r="DA74" i="6"/>
  <c r="CZ74" i="6" s="1"/>
  <c r="DB73" i="6"/>
  <c r="DC73" i="6" s="1"/>
  <c r="CW74" i="6"/>
  <c r="CV74" i="6" s="1"/>
  <c r="CX73" i="6"/>
  <c r="CY73" i="6" s="1"/>
  <c r="CS74" i="6"/>
  <c r="CT73" i="6"/>
  <c r="CU73" i="6" s="1"/>
  <c r="CR74" i="6"/>
  <c r="CO74" i="6"/>
  <c r="CN74" i="6" s="1"/>
  <c r="CP73" i="6"/>
  <c r="CQ73" i="6" s="1"/>
  <c r="CC74" i="6"/>
  <c r="CB74" i="6" s="1"/>
  <c r="CD73" i="6"/>
  <c r="CE73" i="6" s="1"/>
  <c r="BY74" i="6"/>
  <c r="BZ73" i="6"/>
  <c r="CA73" i="6" s="1"/>
  <c r="BX74" i="6"/>
  <c r="BQ74" i="6"/>
  <c r="BR73" i="6"/>
  <c r="BS73" i="6" s="1"/>
  <c r="BP74" i="6"/>
  <c r="BM74" i="6"/>
  <c r="BN73" i="6"/>
  <c r="BO73" i="6" s="1"/>
  <c r="BL74" i="6"/>
  <c r="BI74" i="6"/>
  <c r="BH74" i="6" s="1"/>
  <c r="BJ73" i="6"/>
  <c r="BK73" i="6" s="1"/>
  <c r="BE74" i="6"/>
  <c r="BF73" i="6"/>
  <c r="BG73" i="6" s="1"/>
  <c r="BD74" i="6"/>
  <c r="BA74" i="6"/>
  <c r="AZ74" i="6" s="1"/>
  <c r="BB73" i="6"/>
  <c r="BC73" i="6" s="1"/>
  <c r="AW74" i="6"/>
  <c r="AV74" i="6" s="1"/>
  <c r="AX73" i="6"/>
  <c r="AY73" i="6" s="1"/>
  <c r="AS74" i="6"/>
  <c r="AR74" i="6" s="1"/>
  <c r="AT73" i="6"/>
  <c r="AU73" i="6" s="1"/>
  <c r="AC74" i="6"/>
  <c r="AB74" i="6" s="1"/>
  <c r="AD73" i="6"/>
  <c r="AE73" i="6" s="1"/>
  <c r="Y74" i="6"/>
  <c r="Z73" i="6"/>
  <c r="AA73" i="6" s="1"/>
  <c r="X74" i="6"/>
  <c r="S60" i="6" l="1"/>
  <c r="T60" i="6"/>
  <c r="H38" i="4"/>
  <c r="V62" i="6"/>
  <c r="J36" i="4"/>
  <c r="F63" i="6"/>
  <c r="K33" i="4"/>
  <c r="E64" i="6"/>
  <c r="L17" i="4"/>
  <c r="L16" i="4"/>
  <c r="M11" i="4"/>
  <c r="L18" i="4"/>
  <c r="C65" i="6"/>
  <c r="DQ75" i="6"/>
  <c r="DR74" i="6"/>
  <c r="DS74" i="6" s="1"/>
  <c r="DP75" i="6"/>
  <c r="DM75" i="6"/>
  <c r="DL75" i="6" s="1"/>
  <c r="DN74" i="6"/>
  <c r="DO74" i="6" s="1"/>
  <c r="DI75" i="6"/>
  <c r="DH75" i="6" s="1"/>
  <c r="DJ74" i="6"/>
  <c r="DK74" i="6" s="1"/>
  <c r="CK75" i="6"/>
  <c r="CJ75" i="6" s="1"/>
  <c r="CL74" i="6"/>
  <c r="CM74" i="6" s="1"/>
  <c r="CG75" i="6"/>
  <c r="CH74" i="6"/>
  <c r="CI74" i="6" s="1"/>
  <c r="CF75" i="6"/>
  <c r="BU75" i="6"/>
  <c r="BT75" i="6" s="1"/>
  <c r="BV74" i="6"/>
  <c r="BW74" i="6" s="1"/>
  <c r="AO75" i="6"/>
  <c r="AN75" i="6" s="1"/>
  <c r="AP74" i="6"/>
  <c r="AQ74" i="6" s="1"/>
  <c r="AK75" i="6"/>
  <c r="AJ75" i="6" s="1"/>
  <c r="AL74" i="6"/>
  <c r="AM74" i="6" s="1"/>
  <c r="AG75" i="6"/>
  <c r="AH74" i="6"/>
  <c r="AI74" i="6" s="1"/>
  <c r="AF75" i="6"/>
  <c r="DE75" i="6"/>
  <c r="DD75" i="6" s="1"/>
  <c r="DF74" i="6"/>
  <c r="DG74" i="6" s="1"/>
  <c r="DA75" i="6"/>
  <c r="CZ75" i="6" s="1"/>
  <c r="DB74" i="6"/>
  <c r="DC74" i="6" s="1"/>
  <c r="CW75" i="6"/>
  <c r="CV75" i="6" s="1"/>
  <c r="CX74" i="6"/>
  <c r="CY74" i="6" s="1"/>
  <c r="CS75" i="6"/>
  <c r="CR75" i="6" s="1"/>
  <c r="CT74" i="6"/>
  <c r="CU74" i="6" s="1"/>
  <c r="CO75" i="6"/>
  <c r="CN75" i="6" s="1"/>
  <c r="CP74" i="6"/>
  <c r="CQ74" i="6" s="1"/>
  <c r="CC75" i="6"/>
  <c r="CD74" i="6"/>
  <c r="CE74" i="6" s="1"/>
  <c r="CB75" i="6"/>
  <c r="BY75" i="6"/>
  <c r="BX75" i="6" s="1"/>
  <c r="BZ74" i="6"/>
  <c r="CA74" i="6" s="1"/>
  <c r="BQ75" i="6"/>
  <c r="BP75" i="6" s="1"/>
  <c r="BR74" i="6"/>
  <c r="BS74" i="6" s="1"/>
  <c r="BM75" i="6"/>
  <c r="BN74" i="6"/>
  <c r="BO74" i="6" s="1"/>
  <c r="BL75" i="6"/>
  <c r="BI75" i="6"/>
  <c r="BH75" i="6" s="1"/>
  <c r="BJ74" i="6"/>
  <c r="BK74" i="6" s="1"/>
  <c r="BE75" i="6"/>
  <c r="BF74" i="6"/>
  <c r="BG74" i="6" s="1"/>
  <c r="BD75" i="6"/>
  <c r="BA75" i="6"/>
  <c r="AZ75" i="6" s="1"/>
  <c r="BB74" i="6"/>
  <c r="BC74" i="6" s="1"/>
  <c r="AW75" i="6"/>
  <c r="AX74" i="6"/>
  <c r="AY74" i="6" s="1"/>
  <c r="AV75" i="6"/>
  <c r="AS75" i="6"/>
  <c r="AT74" i="6"/>
  <c r="AU74" i="6" s="1"/>
  <c r="AR75" i="6"/>
  <c r="AC75" i="6"/>
  <c r="AD74" i="6"/>
  <c r="AE74" i="6" s="1"/>
  <c r="AB75" i="6"/>
  <c r="Y75" i="6"/>
  <c r="X75" i="6" s="1"/>
  <c r="Z74" i="6"/>
  <c r="AA74" i="6" s="1"/>
  <c r="H42" i="4" l="1"/>
  <c r="H40" i="4"/>
  <c r="G63" i="6"/>
  <c r="J63" i="6" s="1"/>
  <c r="K35" i="4"/>
  <c r="L19" i="4"/>
  <c r="M12" i="4"/>
  <c r="M14" i="4" s="1"/>
  <c r="M13" i="4"/>
  <c r="L34" i="4"/>
  <c r="DQ76" i="6"/>
  <c r="DP76" i="6" s="1"/>
  <c r="DR75" i="6"/>
  <c r="DS75" i="6" s="1"/>
  <c r="DM76" i="6"/>
  <c r="DL76" i="6" s="1"/>
  <c r="DN75" i="6"/>
  <c r="DO75" i="6" s="1"/>
  <c r="DI76" i="6"/>
  <c r="DH76" i="6" s="1"/>
  <c r="DJ75" i="6"/>
  <c r="DK75" i="6" s="1"/>
  <c r="CK76" i="6"/>
  <c r="CJ76" i="6" s="1"/>
  <c r="CL75" i="6"/>
  <c r="CM75" i="6" s="1"/>
  <c r="CG76" i="6"/>
  <c r="CF76" i="6" s="1"/>
  <c r="CH75" i="6"/>
  <c r="CI75" i="6" s="1"/>
  <c r="BU76" i="6"/>
  <c r="BT76" i="6" s="1"/>
  <c r="BV75" i="6"/>
  <c r="BW75" i="6" s="1"/>
  <c r="AO76" i="6"/>
  <c r="AN76" i="6" s="1"/>
  <c r="AP75" i="6"/>
  <c r="AQ75" i="6" s="1"/>
  <c r="AK76" i="6"/>
  <c r="AJ76" i="6" s="1"/>
  <c r="AL75" i="6"/>
  <c r="AM75" i="6" s="1"/>
  <c r="AG76" i="6"/>
  <c r="AF76" i="6" s="1"/>
  <c r="AH75" i="6"/>
  <c r="AI75" i="6" s="1"/>
  <c r="DE76" i="6"/>
  <c r="DD76" i="6" s="1"/>
  <c r="DF75" i="6"/>
  <c r="DG75" i="6" s="1"/>
  <c r="DA76" i="6"/>
  <c r="CZ76" i="6" s="1"/>
  <c r="DB75" i="6"/>
  <c r="DC75" i="6" s="1"/>
  <c r="CW76" i="6"/>
  <c r="CV76" i="6" s="1"/>
  <c r="CX75" i="6"/>
  <c r="CY75" i="6" s="1"/>
  <c r="CS76" i="6"/>
  <c r="CR76" i="6" s="1"/>
  <c r="CT75" i="6"/>
  <c r="CU75" i="6" s="1"/>
  <c r="CO76" i="6"/>
  <c r="CN76" i="6" s="1"/>
  <c r="CP75" i="6"/>
  <c r="CQ75" i="6" s="1"/>
  <c r="CC76" i="6"/>
  <c r="CB76" i="6" s="1"/>
  <c r="CD75" i="6"/>
  <c r="CE75" i="6" s="1"/>
  <c r="BY76" i="6"/>
  <c r="BX76" i="6" s="1"/>
  <c r="BZ75" i="6"/>
  <c r="CA75" i="6" s="1"/>
  <c r="BQ76" i="6"/>
  <c r="BR75" i="6"/>
  <c r="BS75" i="6" s="1"/>
  <c r="BP76" i="6"/>
  <c r="BM76" i="6"/>
  <c r="BL76" i="6" s="1"/>
  <c r="BN75" i="6"/>
  <c r="BO75" i="6" s="1"/>
  <c r="BI76" i="6"/>
  <c r="BJ75" i="6"/>
  <c r="BK75" i="6" s="1"/>
  <c r="BH76" i="6"/>
  <c r="BE76" i="6"/>
  <c r="BF75" i="6"/>
  <c r="BG75" i="6" s="1"/>
  <c r="BD76" i="6"/>
  <c r="BA76" i="6"/>
  <c r="AZ76" i="6" s="1"/>
  <c r="BB75" i="6"/>
  <c r="BC75" i="6" s="1"/>
  <c r="AW76" i="6"/>
  <c r="AV76" i="6" s="1"/>
  <c r="AX75" i="6"/>
  <c r="AY75" i="6" s="1"/>
  <c r="AS76" i="6"/>
  <c r="AT75" i="6"/>
  <c r="AU75" i="6" s="1"/>
  <c r="AR76" i="6"/>
  <c r="AC76" i="6"/>
  <c r="AD75" i="6"/>
  <c r="AE75" i="6" s="1"/>
  <c r="AB76" i="6"/>
  <c r="Y76" i="6"/>
  <c r="Z75" i="6"/>
  <c r="AA75" i="6" s="1"/>
  <c r="X76" i="6"/>
  <c r="H43" i="4" l="1"/>
  <c r="H61" i="6"/>
  <c r="H41" i="4"/>
  <c r="V63" i="6"/>
  <c r="K36" i="4"/>
  <c r="F64" i="6"/>
  <c r="E65" i="6"/>
  <c r="L33" i="4"/>
  <c r="M17" i="4"/>
  <c r="N11" i="4"/>
  <c r="C66" i="6"/>
  <c r="M18" i="4"/>
  <c r="M16" i="4"/>
  <c r="DQ77" i="6"/>
  <c r="DP77" i="6" s="1"/>
  <c r="DR76" i="6"/>
  <c r="DS76" i="6" s="1"/>
  <c r="DM77" i="6"/>
  <c r="DN76" i="6"/>
  <c r="DO76" i="6" s="1"/>
  <c r="DL77" i="6"/>
  <c r="DI77" i="6"/>
  <c r="DH77" i="6" s="1"/>
  <c r="DJ76" i="6"/>
  <c r="DK76" i="6" s="1"/>
  <c r="CK77" i="6"/>
  <c r="CJ77" i="6" s="1"/>
  <c r="CL76" i="6"/>
  <c r="CM76" i="6" s="1"/>
  <c r="CG77" i="6"/>
  <c r="CF77" i="6" s="1"/>
  <c r="CH76" i="6"/>
  <c r="CI76" i="6" s="1"/>
  <c r="BU77" i="6"/>
  <c r="BT77" i="6" s="1"/>
  <c r="BV76" i="6"/>
  <c r="BW76" i="6" s="1"/>
  <c r="AO77" i="6"/>
  <c r="AN77" i="6" s="1"/>
  <c r="AP76" i="6"/>
  <c r="AQ76" i="6" s="1"/>
  <c r="AK77" i="6"/>
  <c r="AJ77" i="6" s="1"/>
  <c r="AL76" i="6"/>
  <c r="AM76" i="6" s="1"/>
  <c r="AG77" i="6"/>
  <c r="AF77" i="6" s="1"/>
  <c r="AH76" i="6"/>
  <c r="AI76" i="6" s="1"/>
  <c r="DE77" i="6"/>
  <c r="DD77" i="6" s="1"/>
  <c r="DF76" i="6"/>
  <c r="DG76" i="6" s="1"/>
  <c r="DA77" i="6"/>
  <c r="DB76" i="6"/>
  <c r="DC76" i="6" s="1"/>
  <c r="CZ77" i="6"/>
  <c r="CW77" i="6"/>
  <c r="CV77" i="6" s="1"/>
  <c r="CX76" i="6"/>
  <c r="CY76" i="6" s="1"/>
  <c r="CS77" i="6"/>
  <c r="CR77" i="6" s="1"/>
  <c r="CT76" i="6"/>
  <c r="CU76" i="6" s="1"/>
  <c r="CO77" i="6"/>
  <c r="CP76" i="6"/>
  <c r="CQ76" i="6" s="1"/>
  <c r="CN77" i="6"/>
  <c r="CC77" i="6"/>
  <c r="CB77" i="6" s="1"/>
  <c r="CD76" i="6"/>
  <c r="CE76" i="6" s="1"/>
  <c r="BY77" i="6"/>
  <c r="BZ76" i="6"/>
  <c r="CA76" i="6" s="1"/>
  <c r="BX77" i="6"/>
  <c r="BQ77" i="6"/>
  <c r="BP77" i="6" s="1"/>
  <c r="BR76" i="6"/>
  <c r="BS76" i="6" s="1"/>
  <c r="BM77" i="6"/>
  <c r="BN76" i="6"/>
  <c r="BO76" i="6" s="1"/>
  <c r="BL77" i="6"/>
  <c r="BI77" i="6"/>
  <c r="BH77" i="6" s="1"/>
  <c r="BJ76" i="6"/>
  <c r="BK76" i="6" s="1"/>
  <c r="BE77" i="6"/>
  <c r="BD77" i="6" s="1"/>
  <c r="BF76" i="6"/>
  <c r="BG76" i="6" s="1"/>
  <c r="BA77" i="6"/>
  <c r="BB76" i="6"/>
  <c r="BC76" i="6" s="1"/>
  <c r="AZ77" i="6"/>
  <c r="AW77" i="6"/>
  <c r="AV77" i="6" s="1"/>
  <c r="AX76" i="6"/>
  <c r="AY76" i="6" s="1"/>
  <c r="AS77" i="6"/>
  <c r="AR77" i="6" s="1"/>
  <c r="AT76" i="6"/>
  <c r="AU76" i="6" s="1"/>
  <c r="AC77" i="6"/>
  <c r="AB77" i="6" s="1"/>
  <c r="AD76" i="6"/>
  <c r="AE76" i="6" s="1"/>
  <c r="Y77" i="6"/>
  <c r="Z76" i="6"/>
  <c r="AA76" i="6" s="1"/>
  <c r="X77" i="6"/>
  <c r="I61" i="6" l="1"/>
  <c r="I39" i="4"/>
  <c r="I38" i="4"/>
  <c r="G64" i="6"/>
  <c r="J64" i="6" s="1"/>
  <c r="L35" i="4"/>
  <c r="N13" i="4"/>
  <c r="M34" i="4"/>
  <c r="M19" i="4"/>
  <c r="DQ78" i="6"/>
  <c r="DR77" i="6"/>
  <c r="DS77" i="6" s="1"/>
  <c r="DP78" i="6"/>
  <c r="DM78" i="6"/>
  <c r="DL78" i="6" s="1"/>
  <c r="DN77" i="6"/>
  <c r="DO77" i="6" s="1"/>
  <c r="DI78" i="6"/>
  <c r="DH78" i="6"/>
  <c r="DJ77" i="6"/>
  <c r="DK77" i="6" s="1"/>
  <c r="CK78" i="6"/>
  <c r="CL77" i="6"/>
  <c r="CM77" i="6" s="1"/>
  <c r="CJ78" i="6"/>
  <c r="CG78" i="6"/>
  <c r="CH77" i="6"/>
  <c r="CI77" i="6" s="1"/>
  <c r="CF78" i="6"/>
  <c r="BU78" i="6"/>
  <c r="BV77" i="6"/>
  <c r="BW77" i="6" s="1"/>
  <c r="BT78" i="6"/>
  <c r="AO78" i="6"/>
  <c r="AP77" i="6"/>
  <c r="AQ77" i="6" s="1"/>
  <c r="AN78" i="6"/>
  <c r="AK78" i="6"/>
  <c r="AJ78" i="6" s="1"/>
  <c r="AL77" i="6"/>
  <c r="AM77" i="6" s="1"/>
  <c r="AG78" i="6"/>
  <c r="AF78" i="6" s="1"/>
  <c r="AH77" i="6"/>
  <c r="AI77" i="6" s="1"/>
  <c r="DE78" i="6"/>
  <c r="DF77" i="6"/>
  <c r="DG77" i="6" s="1"/>
  <c r="DD78" i="6"/>
  <c r="DA78" i="6"/>
  <c r="DB77" i="6"/>
  <c r="DC77" i="6" s="1"/>
  <c r="CZ78" i="6"/>
  <c r="CW78" i="6"/>
  <c r="CV78" i="6" s="1"/>
  <c r="CX77" i="6"/>
  <c r="CY77" i="6" s="1"/>
  <c r="CS78" i="6"/>
  <c r="CT77" i="6"/>
  <c r="CU77" i="6" s="1"/>
  <c r="CR78" i="6"/>
  <c r="CO78" i="6"/>
  <c r="CP77" i="6"/>
  <c r="CQ77" i="6" s="1"/>
  <c r="CN78" i="6"/>
  <c r="CC78" i="6"/>
  <c r="CD77" i="6"/>
  <c r="CE77" i="6" s="1"/>
  <c r="CB78" i="6"/>
  <c r="BY78" i="6"/>
  <c r="BZ77" i="6"/>
  <c r="CA77" i="6" s="1"/>
  <c r="BX78" i="6"/>
  <c r="BQ78" i="6"/>
  <c r="BR77" i="6"/>
  <c r="BS77" i="6" s="1"/>
  <c r="BP78" i="6"/>
  <c r="BM78" i="6"/>
  <c r="BN77" i="6"/>
  <c r="BO77" i="6" s="1"/>
  <c r="BL78" i="6"/>
  <c r="BI78" i="6"/>
  <c r="BH78" i="6" s="1"/>
  <c r="BJ77" i="6"/>
  <c r="BK77" i="6" s="1"/>
  <c r="BE78" i="6"/>
  <c r="BD78" i="6" s="1"/>
  <c r="BF77" i="6"/>
  <c r="BG77" i="6" s="1"/>
  <c r="BA78" i="6"/>
  <c r="AZ78" i="6" s="1"/>
  <c r="BB77" i="6"/>
  <c r="BC77" i="6" s="1"/>
  <c r="AW78" i="6"/>
  <c r="AV78" i="6" s="1"/>
  <c r="AX77" i="6"/>
  <c r="AY77" i="6" s="1"/>
  <c r="AS78" i="6"/>
  <c r="AR78" i="6" s="1"/>
  <c r="AT77" i="6"/>
  <c r="AU77" i="6" s="1"/>
  <c r="AC78" i="6"/>
  <c r="AD77" i="6"/>
  <c r="AE77" i="6" s="1"/>
  <c r="AB78" i="6"/>
  <c r="Y78" i="6"/>
  <c r="Z77" i="6"/>
  <c r="AA77" i="6" s="1"/>
  <c r="X78" i="6"/>
  <c r="S61" i="6" l="1"/>
  <c r="T61" i="6"/>
  <c r="I42" i="4"/>
  <c r="I40" i="4"/>
  <c r="V64" i="6"/>
  <c r="L36" i="4"/>
  <c r="F65" i="6"/>
  <c r="E66" i="6"/>
  <c r="M33" i="4"/>
  <c r="DQ79" i="6"/>
  <c r="DP79" i="6" s="1"/>
  <c r="DR78" i="6"/>
  <c r="DS78" i="6" s="1"/>
  <c r="DM79" i="6"/>
  <c r="DN78" i="6"/>
  <c r="DO78" i="6" s="1"/>
  <c r="DL79" i="6"/>
  <c r="DI79" i="6"/>
  <c r="DJ78" i="6"/>
  <c r="DK78" i="6" s="1"/>
  <c r="DH79" i="6"/>
  <c r="CK79" i="6"/>
  <c r="CL78" i="6"/>
  <c r="CM78" i="6" s="1"/>
  <c r="CJ79" i="6"/>
  <c r="CG79" i="6"/>
  <c r="CF79" i="6" s="1"/>
  <c r="CH78" i="6"/>
  <c r="CI78" i="6" s="1"/>
  <c r="BU79" i="6"/>
  <c r="BT79" i="6" s="1"/>
  <c r="BV78" i="6"/>
  <c r="BW78" i="6" s="1"/>
  <c r="AO79" i="6"/>
  <c r="AN79" i="6" s="1"/>
  <c r="AP78" i="6"/>
  <c r="AQ78" i="6" s="1"/>
  <c r="AK79" i="6"/>
  <c r="AJ79" i="6" s="1"/>
  <c r="AL78" i="6"/>
  <c r="AM78" i="6" s="1"/>
  <c r="AG79" i="6"/>
  <c r="AF79" i="6" s="1"/>
  <c r="AH78" i="6"/>
  <c r="AI78" i="6" s="1"/>
  <c r="DE79" i="6"/>
  <c r="DF78" i="6"/>
  <c r="DG78" i="6" s="1"/>
  <c r="DD79" i="6"/>
  <c r="DA79" i="6"/>
  <c r="DB78" i="6"/>
  <c r="DC78" i="6" s="1"/>
  <c r="CZ79" i="6"/>
  <c r="CW79" i="6"/>
  <c r="CV79" i="6" s="1"/>
  <c r="CX78" i="6"/>
  <c r="CY78" i="6" s="1"/>
  <c r="CS79" i="6"/>
  <c r="CT78" i="6"/>
  <c r="CU78" i="6" s="1"/>
  <c r="CR79" i="6"/>
  <c r="CO79" i="6"/>
  <c r="CN79" i="6" s="1"/>
  <c r="CP78" i="6"/>
  <c r="CQ78" i="6" s="1"/>
  <c r="CC79" i="6"/>
  <c r="CB79" i="6" s="1"/>
  <c r="CD78" i="6"/>
  <c r="CE78" i="6" s="1"/>
  <c r="BY79" i="6"/>
  <c r="BX79" i="6" s="1"/>
  <c r="BZ78" i="6"/>
  <c r="CA78" i="6" s="1"/>
  <c r="BQ79" i="6"/>
  <c r="BR78" i="6"/>
  <c r="BS78" i="6" s="1"/>
  <c r="BP79" i="6"/>
  <c r="BM79" i="6"/>
  <c r="BL79" i="6" s="1"/>
  <c r="BN78" i="6"/>
  <c r="BO78" i="6" s="1"/>
  <c r="BI79" i="6"/>
  <c r="BJ78" i="6"/>
  <c r="BK78" i="6" s="1"/>
  <c r="BH79" i="6"/>
  <c r="BE79" i="6"/>
  <c r="BF78" i="6"/>
  <c r="BG78" i="6" s="1"/>
  <c r="BD79" i="6"/>
  <c r="BA79" i="6"/>
  <c r="AZ79" i="6" s="1"/>
  <c r="BB78" i="6"/>
  <c r="BC78" i="6" s="1"/>
  <c r="AW79" i="6"/>
  <c r="AV79" i="6" s="1"/>
  <c r="AX78" i="6"/>
  <c r="AY78" i="6" s="1"/>
  <c r="AS79" i="6"/>
  <c r="AR79" i="6" s="1"/>
  <c r="AT78" i="6"/>
  <c r="AU78" i="6" s="1"/>
  <c r="AC79" i="6"/>
  <c r="AD78" i="6"/>
  <c r="AE78" i="6" s="1"/>
  <c r="AB79" i="6"/>
  <c r="Y79" i="6"/>
  <c r="Z78" i="6"/>
  <c r="AA78" i="6" s="1"/>
  <c r="X79" i="6"/>
  <c r="O13" i="4"/>
  <c r="N12" i="4"/>
  <c r="I43" i="4" l="1"/>
  <c r="H62" i="6"/>
  <c r="I41" i="4"/>
  <c r="G65" i="6"/>
  <c r="J65" i="6" s="1"/>
  <c r="M35" i="4"/>
  <c r="DQ80" i="6"/>
  <c r="DR79" i="6"/>
  <c r="DS79" i="6" s="1"/>
  <c r="DP80" i="6"/>
  <c r="DM80" i="6"/>
  <c r="DL80" i="6" s="1"/>
  <c r="DN79" i="6"/>
  <c r="DO79" i="6" s="1"/>
  <c r="DI80" i="6"/>
  <c r="DH80" i="6" s="1"/>
  <c r="DJ79" i="6"/>
  <c r="DK79" i="6" s="1"/>
  <c r="CK80" i="6"/>
  <c r="CJ80" i="6" s="1"/>
  <c r="CL79" i="6"/>
  <c r="CM79" i="6" s="1"/>
  <c r="CG80" i="6"/>
  <c r="CF80" i="6" s="1"/>
  <c r="CH79" i="6"/>
  <c r="CI79" i="6" s="1"/>
  <c r="BU80" i="6"/>
  <c r="BT80" i="6" s="1"/>
  <c r="BV79" i="6"/>
  <c r="BW79" i="6" s="1"/>
  <c r="AO80" i="6"/>
  <c r="AN80" i="6" s="1"/>
  <c r="AP79" i="6"/>
  <c r="AQ79" i="6" s="1"/>
  <c r="AK80" i="6"/>
  <c r="AJ80" i="6" s="1"/>
  <c r="AL79" i="6"/>
  <c r="AM79" i="6" s="1"/>
  <c r="AG80" i="6"/>
  <c r="AF80" i="6" s="1"/>
  <c r="AH79" i="6"/>
  <c r="AI79" i="6" s="1"/>
  <c r="DE80" i="6"/>
  <c r="DD80" i="6" s="1"/>
  <c r="DF79" i="6"/>
  <c r="DG79" i="6" s="1"/>
  <c r="DA80" i="6"/>
  <c r="DB79" i="6"/>
  <c r="DC79" i="6" s="1"/>
  <c r="CZ80" i="6"/>
  <c r="CW80" i="6"/>
  <c r="CX79" i="6"/>
  <c r="CY79" i="6" s="1"/>
  <c r="CV80" i="6"/>
  <c r="CS80" i="6"/>
  <c r="CT79" i="6"/>
  <c r="CU79" i="6" s="1"/>
  <c r="CR80" i="6"/>
  <c r="CO80" i="6"/>
  <c r="CN80" i="6" s="1"/>
  <c r="CP79" i="6"/>
  <c r="CQ79" i="6" s="1"/>
  <c r="CC80" i="6"/>
  <c r="CB80" i="6" s="1"/>
  <c r="CD79" i="6"/>
  <c r="CE79" i="6" s="1"/>
  <c r="BY80" i="6"/>
  <c r="BX80" i="6" s="1"/>
  <c r="BZ79" i="6"/>
  <c r="CA79" i="6" s="1"/>
  <c r="BQ80" i="6"/>
  <c r="BP80" i="6" s="1"/>
  <c r="BR79" i="6"/>
  <c r="BS79" i="6" s="1"/>
  <c r="BM80" i="6"/>
  <c r="BL80" i="6" s="1"/>
  <c r="BN79" i="6"/>
  <c r="BO79" i="6" s="1"/>
  <c r="BI80" i="6"/>
  <c r="BH80" i="6" s="1"/>
  <c r="BJ79" i="6"/>
  <c r="BK79" i="6" s="1"/>
  <c r="BE80" i="6"/>
  <c r="BD80" i="6" s="1"/>
  <c r="BF79" i="6"/>
  <c r="BG79" i="6" s="1"/>
  <c r="BA80" i="6"/>
  <c r="BB79" i="6"/>
  <c r="BC79" i="6" s="1"/>
  <c r="AZ80" i="6"/>
  <c r="AW80" i="6"/>
  <c r="AX79" i="6"/>
  <c r="AY79" i="6" s="1"/>
  <c r="AV80" i="6"/>
  <c r="AS80" i="6"/>
  <c r="AR80" i="6" s="1"/>
  <c r="AT79" i="6"/>
  <c r="AU79" i="6" s="1"/>
  <c r="AC80" i="6"/>
  <c r="AB80" i="6" s="1"/>
  <c r="AD79" i="6"/>
  <c r="AE79" i="6" s="1"/>
  <c r="Y80" i="6"/>
  <c r="X80" i="6" s="1"/>
  <c r="Z79" i="6"/>
  <c r="AA79" i="6" s="1"/>
  <c r="N17" i="4"/>
  <c r="O17" i="4" s="1"/>
  <c r="C11" i="5" s="1"/>
  <c r="O12" i="4"/>
  <c r="N14" i="4"/>
  <c r="I62" i="6" l="1"/>
  <c r="J39" i="4"/>
  <c r="J38" i="4" s="1"/>
  <c r="V65" i="6"/>
  <c r="M36" i="4"/>
  <c r="F66" i="6"/>
  <c r="DQ81" i="6"/>
  <c r="DP81" i="6" s="1"/>
  <c r="DR80" i="6"/>
  <c r="DS80" i="6" s="1"/>
  <c r="DM81" i="6"/>
  <c r="DL81" i="6" s="1"/>
  <c r="DN80" i="6"/>
  <c r="DO80" i="6" s="1"/>
  <c r="DI81" i="6"/>
  <c r="DJ80" i="6"/>
  <c r="DK80" i="6" s="1"/>
  <c r="DH81" i="6"/>
  <c r="CK81" i="6"/>
  <c r="CJ81" i="6" s="1"/>
  <c r="CL80" i="6"/>
  <c r="CM80" i="6" s="1"/>
  <c r="CG81" i="6"/>
  <c r="CF81" i="6" s="1"/>
  <c r="CH80" i="6"/>
  <c r="CI80" i="6" s="1"/>
  <c r="BU81" i="6"/>
  <c r="BT81" i="6" s="1"/>
  <c r="BV80" i="6"/>
  <c r="BW80" i="6" s="1"/>
  <c r="AO81" i="6"/>
  <c r="AN81" i="6" s="1"/>
  <c r="AP80" i="6"/>
  <c r="AQ80" i="6" s="1"/>
  <c r="AK81" i="6"/>
  <c r="AJ81" i="6" s="1"/>
  <c r="AL80" i="6"/>
  <c r="AM80" i="6" s="1"/>
  <c r="AG81" i="6"/>
  <c r="AF81" i="6" s="1"/>
  <c r="AH80" i="6"/>
  <c r="AI80" i="6" s="1"/>
  <c r="DE81" i="6"/>
  <c r="DD81" i="6" s="1"/>
  <c r="DF80" i="6"/>
  <c r="DG80" i="6" s="1"/>
  <c r="DA81" i="6"/>
  <c r="CZ81" i="6" s="1"/>
  <c r="DB80" i="6"/>
  <c r="DC80" i="6" s="1"/>
  <c r="CW81" i="6"/>
  <c r="CV81" i="6" s="1"/>
  <c r="CX80" i="6"/>
  <c r="CY80" i="6" s="1"/>
  <c r="CS81" i="6"/>
  <c r="CR81" i="6" s="1"/>
  <c r="CT80" i="6"/>
  <c r="CU80" i="6" s="1"/>
  <c r="CO81" i="6"/>
  <c r="CN81" i="6" s="1"/>
  <c r="CP80" i="6"/>
  <c r="CQ80" i="6" s="1"/>
  <c r="CC81" i="6"/>
  <c r="CB81" i="6" s="1"/>
  <c r="CD80" i="6"/>
  <c r="CE80" i="6" s="1"/>
  <c r="BY81" i="6"/>
  <c r="BX81" i="6" s="1"/>
  <c r="BZ80" i="6"/>
  <c r="CA80" i="6" s="1"/>
  <c r="BQ81" i="6"/>
  <c r="BR80" i="6"/>
  <c r="BS80" i="6" s="1"/>
  <c r="BP81" i="6"/>
  <c r="BM81" i="6"/>
  <c r="BN80" i="6"/>
  <c r="BO80" i="6" s="1"/>
  <c r="BL81" i="6"/>
  <c r="BI81" i="6"/>
  <c r="BJ80" i="6"/>
  <c r="BK80" i="6" s="1"/>
  <c r="BH81" i="6"/>
  <c r="BE81" i="6"/>
  <c r="BF80" i="6"/>
  <c r="BG80" i="6" s="1"/>
  <c r="BD81" i="6"/>
  <c r="BA81" i="6"/>
  <c r="AZ81" i="6" s="1"/>
  <c r="BB80" i="6"/>
  <c r="BC80" i="6" s="1"/>
  <c r="AW81" i="6"/>
  <c r="AX80" i="6"/>
  <c r="AY80" i="6" s="1"/>
  <c r="AV81" i="6"/>
  <c r="AS81" i="6"/>
  <c r="AR81" i="6" s="1"/>
  <c r="AT80" i="6"/>
  <c r="AU80" i="6" s="1"/>
  <c r="AC81" i="6"/>
  <c r="AB81" i="6" s="1"/>
  <c r="AD80" i="6"/>
  <c r="AE80" i="6" s="1"/>
  <c r="Y81" i="6"/>
  <c r="X81" i="6" s="1"/>
  <c r="Z80" i="6"/>
  <c r="AA80" i="6" s="1"/>
  <c r="O14" i="4"/>
  <c r="N18" i="4"/>
  <c r="C67" i="6"/>
  <c r="C49" i="4"/>
  <c r="N16" i="4"/>
  <c r="C8" i="5"/>
  <c r="S62" i="6" l="1"/>
  <c r="T62" i="6"/>
  <c r="J42" i="4"/>
  <c r="J40" i="4"/>
  <c r="G66" i="6"/>
  <c r="J66" i="6" s="1"/>
  <c r="DQ82" i="6"/>
  <c r="DP82" i="6" s="1"/>
  <c r="DR81" i="6"/>
  <c r="DS81" i="6" s="1"/>
  <c r="DM82" i="6"/>
  <c r="DN81" i="6"/>
  <c r="DO81" i="6" s="1"/>
  <c r="DL82" i="6"/>
  <c r="DI82" i="6"/>
  <c r="DH82" i="6" s="1"/>
  <c r="DJ81" i="6"/>
  <c r="DK81" i="6" s="1"/>
  <c r="CK82" i="6"/>
  <c r="CJ82" i="6" s="1"/>
  <c r="CL81" i="6"/>
  <c r="CM81" i="6" s="1"/>
  <c r="CG82" i="6"/>
  <c r="CH81" i="6"/>
  <c r="CI81" i="6" s="1"/>
  <c r="CF82" i="6"/>
  <c r="BU82" i="6"/>
  <c r="BT82" i="6" s="1"/>
  <c r="BV81" i="6"/>
  <c r="BW81" i="6" s="1"/>
  <c r="AO82" i="6"/>
  <c r="AN82" i="6" s="1"/>
  <c r="AP81" i="6"/>
  <c r="AQ81" i="6" s="1"/>
  <c r="AK82" i="6"/>
  <c r="AJ82" i="6" s="1"/>
  <c r="AL81" i="6"/>
  <c r="AM81" i="6" s="1"/>
  <c r="AG82" i="6"/>
  <c r="AF82" i="6" s="1"/>
  <c r="AH81" i="6"/>
  <c r="AI81" i="6" s="1"/>
  <c r="DE82" i="6"/>
  <c r="DD82" i="6" s="1"/>
  <c r="DF81" i="6"/>
  <c r="DG81" i="6" s="1"/>
  <c r="DA82" i="6"/>
  <c r="CZ82" i="6" s="1"/>
  <c r="DB81" i="6"/>
  <c r="DC81" i="6" s="1"/>
  <c r="CW82" i="6"/>
  <c r="CV82" i="6" s="1"/>
  <c r="CX81" i="6"/>
  <c r="CY81" i="6" s="1"/>
  <c r="CS82" i="6"/>
  <c r="CR82" i="6" s="1"/>
  <c r="CT81" i="6"/>
  <c r="CU81" i="6" s="1"/>
  <c r="CO82" i="6"/>
  <c r="CN82" i="6" s="1"/>
  <c r="CP81" i="6"/>
  <c r="CQ81" i="6" s="1"/>
  <c r="CC82" i="6"/>
  <c r="CB82" i="6" s="1"/>
  <c r="CD81" i="6"/>
  <c r="CE81" i="6" s="1"/>
  <c r="BY82" i="6"/>
  <c r="BX82" i="6" s="1"/>
  <c r="BZ81" i="6"/>
  <c r="CA81" i="6" s="1"/>
  <c r="BQ82" i="6"/>
  <c r="BP82" i="6" s="1"/>
  <c r="BR81" i="6"/>
  <c r="BS81" i="6" s="1"/>
  <c r="BM82" i="6"/>
  <c r="BL82" i="6"/>
  <c r="BN81" i="6"/>
  <c r="BO81" i="6" s="1"/>
  <c r="BI82" i="6"/>
  <c r="BH82" i="6"/>
  <c r="BJ81" i="6"/>
  <c r="BK81" i="6" s="1"/>
  <c r="BE82" i="6"/>
  <c r="BF81" i="6"/>
  <c r="BG81" i="6" s="1"/>
  <c r="BD82" i="6"/>
  <c r="BA82" i="6"/>
  <c r="BB81" i="6"/>
  <c r="BC81" i="6" s="1"/>
  <c r="AZ82" i="6"/>
  <c r="AW82" i="6"/>
  <c r="AV82" i="6" s="1"/>
  <c r="AX81" i="6"/>
  <c r="AY81" i="6" s="1"/>
  <c r="AS82" i="6"/>
  <c r="AR82" i="6" s="1"/>
  <c r="AT81" i="6"/>
  <c r="AU81" i="6" s="1"/>
  <c r="AC82" i="6"/>
  <c r="AB82" i="6" s="1"/>
  <c r="AD81" i="6"/>
  <c r="AE81" i="6" s="1"/>
  <c r="Y82" i="6"/>
  <c r="X82" i="6" s="1"/>
  <c r="Z81" i="6"/>
  <c r="AA81" i="6" s="1"/>
  <c r="C17" i="6"/>
  <c r="C7" i="5"/>
  <c r="H49" i="3"/>
  <c r="O18" i="4"/>
  <c r="C12" i="5" s="1"/>
  <c r="N34" i="4"/>
  <c r="O34" i="4" s="1"/>
  <c r="C28" i="5" s="1"/>
  <c r="C51" i="4"/>
  <c r="C50" i="4" s="1"/>
  <c r="C52" i="4" s="1"/>
  <c r="O49" i="4"/>
  <c r="O16" i="4"/>
  <c r="C10" i="5" s="1"/>
  <c r="N19" i="4"/>
  <c r="J43" i="4" l="1"/>
  <c r="H63" i="6"/>
  <c r="J41" i="4"/>
  <c r="V66" i="6"/>
  <c r="DQ83" i="6"/>
  <c r="DP83" i="6" s="1"/>
  <c r="DR82" i="6"/>
  <c r="DS82" i="6" s="1"/>
  <c r="DM83" i="6"/>
  <c r="DL83" i="6" s="1"/>
  <c r="DN82" i="6"/>
  <c r="DO82" i="6" s="1"/>
  <c r="DI83" i="6"/>
  <c r="DH83" i="6" s="1"/>
  <c r="DJ82" i="6"/>
  <c r="DK82" i="6" s="1"/>
  <c r="CK83" i="6"/>
  <c r="CL82" i="6"/>
  <c r="CM82" i="6" s="1"/>
  <c r="CJ83" i="6"/>
  <c r="CG83" i="6"/>
  <c r="CF83" i="6" s="1"/>
  <c r="CH82" i="6"/>
  <c r="CI82" i="6" s="1"/>
  <c r="BU83" i="6"/>
  <c r="BT83" i="6" s="1"/>
  <c r="BV82" i="6"/>
  <c r="BW82" i="6" s="1"/>
  <c r="AO83" i="6"/>
  <c r="AP82" i="6"/>
  <c r="AQ82" i="6" s="1"/>
  <c r="AN83" i="6"/>
  <c r="AK83" i="6"/>
  <c r="AL82" i="6"/>
  <c r="AM82" i="6" s="1"/>
  <c r="AJ83" i="6"/>
  <c r="AG83" i="6"/>
  <c r="AF83" i="6" s="1"/>
  <c r="AH82" i="6"/>
  <c r="AI82" i="6" s="1"/>
  <c r="DE83" i="6"/>
  <c r="DD83" i="6" s="1"/>
  <c r="DF82" i="6"/>
  <c r="DG82" i="6" s="1"/>
  <c r="DA83" i="6"/>
  <c r="CZ83" i="6" s="1"/>
  <c r="DB82" i="6"/>
  <c r="DC82" i="6" s="1"/>
  <c r="CW83" i="6"/>
  <c r="CV83" i="6" s="1"/>
  <c r="CX82" i="6"/>
  <c r="CY82" i="6" s="1"/>
  <c r="CS83" i="6"/>
  <c r="CT82" i="6"/>
  <c r="CU82" i="6" s="1"/>
  <c r="CR83" i="6"/>
  <c r="CO83" i="6"/>
  <c r="CN83" i="6" s="1"/>
  <c r="CP82" i="6"/>
  <c r="CQ82" i="6" s="1"/>
  <c r="CC83" i="6"/>
  <c r="CB83" i="6" s="1"/>
  <c r="CD82" i="6"/>
  <c r="CE82" i="6" s="1"/>
  <c r="BY83" i="6"/>
  <c r="BX83" i="6" s="1"/>
  <c r="BZ82" i="6"/>
  <c r="CA82" i="6" s="1"/>
  <c r="BQ83" i="6"/>
  <c r="BP83" i="6" s="1"/>
  <c r="BR82" i="6"/>
  <c r="BS82" i="6" s="1"/>
  <c r="BM83" i="6"/>
  <c r="BL83" i="6" s="1"/>
  <c r="BN82" i="6"/>
  <c r="BO82" i="6" s="1"/>
  <c r="BI83" i="6"/>
  <c r="BH83" i="6" s="1"/>
  <c r="BJ82" i="6"/>
  <c r="BK82" i="6" s="1"/>
  <c r="BE83" i="6"/>
  <c r="BD83" i="6" s="1"/>
  <c r="BF82" i="6"/>
  <c r="BG82" i="6" s="1"/>
  <c r="BA83" i="6"/>
  <c r="AZ83" i="6" s="1"/>
  <c r="BB82" i="6"/>
  <c r="BC82" i="6" s="1"/>
  <c r="AW83" i="6"/>
  <c r="AV83" i="6" s="1"/>
  <c r="AX82" i="6"/>
  <c r="AY82" i="6" s="1"/>
  <c r="AS83" i="6"/>
  <c r="AR83" i="6" s="1"/>
  <c r="AT82" i="6"/>
  <c r="AU82" i="6" s="1"/>
  <c r="AC83" i="6"/>
  <c r="AB83" i="6" s="1"/>
  <c r="AD82" i="6"/>
  <c r="AE82" i="6" s="1"/>
  <c r="Y83" i="6"/>
  <c r="X83" i="6" s="1"/>
  <c r="Z82" i="6"/>
  <c r="AA82" i="6" s="1"/>
  <c r="C55" i="4"/>
  <c r="D49" i="4"/>
  <c r="C56" i="4"/>
  <c r="C68" i="6"/>
  <c r="C54" i="4"/>
  <c r="C13" i="5"/>
  <c r="D10" i="5" s="1"/>
  <c r="O19" i="4"/>
  <c r="N33" i="4"/>
  <c r="E67" i="6"/>
  <c r="I63" i="6" l="1"/>
  <c r="K39" i="4"/>
  <c r="K38" i="4"/>
  <c r="DQ84" i="6"/>
  <c r="DP84" i="6" s="1"/>
  <c r="DR83" i="6"/>
  <c r="DS83" i="6" s="1"/>
  <c r="DM84" i="6"/>
  <c r="DL84" i="6" s="1"/>
  <c r="DN83" i="6"/>
  <c r="DO83" i="6" s="1"/>
  <c r="DI84" i="6"/>
  <c r="DH84" i="6" s="1"/>
  <c r="DJ83" i="6"/>
  <c r="DK83" i="6" s="1"/>
  <c r="CK84" i="6"/>
  <c r="CJ84" i="6" s="1"/>
  <c r="CL83" i="6"/>
  <c r="CM83" i="6" s="1"/>
  <c r="CG84" i="6"/>
  <c r="CF84" i="6" s="1"/>
  <c r="CH83" i="6"/>
  <c r="CI83" i="6" s="1"/>
  <c r="BU84" i="6"/>
  <c r="BV83" i="6"/>
  <c r="BW83" i="6" s="1"/>
  <c r="BT84" i="6"/>
  <c r="AO84" i="6"/>
  <c r="AN84" i="6" s="1"/>
  <c r="AP83" i="6"/>
  <c r="AQ83" i="6" s="1"/>
  <c r="AK84" i="6"/>
  <c r="AJ84" i="6" s="1"/>
  <c r="AL83" i="6"/>
  <c r="AM83" i="6" s="1"/>
  <c r="AG84" i="6"/>
  <c r="AF84" i="6" s="1"/>
  <c r="AH83" i="6"/>
  <c r="AI83" i="6" s="1"/>
  <c r="DE84" i="6"/>
  <c r="DD84" i="6" s="1"/>
  <c r="DF83" i="6"/>
  <c r="DG83" i="6" s="1"/>
  <c r="DA84" i="6"/>
  <c r="DB83" i="6"/>
  <c r="DC83" i="6" s="1"/>
  <c r="CZ84" i="6"/>
  <c r="CW84" i="6"/>
  <c r="CX83" i="6"/>
  <c r="CY83" i="6" s="1"/>
  <c r="CV84" i="6"/>
  <c r="CS84" i="6"/>
  <c r="CR84" i="6" s="1"/>
  <c r="CT83" i="6"/>
  <c r="CU83" i="6" s="1"/>
  <c r="CO84" i="6"/>
  <c r="CN84" i="6" s="1"/>
  <c r="CP83" i="6"/>
  <c r="CQ83" i="6" s="1"/>
  <c r="CC84" i="6"/>
  <c r="CB84" i="6" s="1"/>
  <c r="CD83" i="6"/>
  <c r="CE83" i="6" s="1"/>
  <c r="BY84" i="6"/>
  <c r="BZ83" i="6"/>
  <c r="CA83" i="6" s="1"/>
  <c r="BX84" i="6"/>
  <c r="BQ84" i="6"/>
  <c r="BP84" i="6" s="1"/>
  <c r="BR83" i="6"/>
  <c r="BS83" i="6" s="1"/>
  <c r="BM84" i="6"/>
  <c r="BN83" i="6"/>
  <c r="BO83" i="6" s="1"/>
  <c r="BL84" i="6"/>
  <c r="BI84" i="6"/>
  <c r="BH84" i="6" s="1"/>
  <c r="BJ83" i="6"/>
  <c r="BK83" i="6" s="1"/>
  <c r="BE84" i="6"/>
  <c r="BD84" i="6" s="1"/>
  <c r="BF83" i="6"/>
  <c r="BG83" i="6" s="1"/>
  <c r="BA84" i="6"/>
  <c r="BB83" i="6"/>
  <c r="BC83" i="6" s="1"/>
  <c r="AZ84" i="6"/>
  <c r="AW84" i="6"/>
  <c r="AV84" i="6" s="1"/>
  <c r="AX83" i="6"/>
  <c r="AY83" i="6" s="1"/>
  <c r="AS84" i="6"/>
  <c r="AR84" i="6" s="1"/>
  <c r="AT83" i="6"/>
  <c r="AU83" i="6" s="1"/>
  <c r="AC84" i="6"/>
  <c r="AB84" i="6" s="1"/>
  <c r="AD83" i="6"/>
  <c r="AE83" i="6" s="1"/>
  <c r="Y84" i="6"/>
  <c r="X84" i="6" s="1"/>
  <c r="Z83" i="6"/>
  <c r="AA83" i="6" s="1"/>
  <c r="D50" i="4"/>
  <c r="D52" i="4" s="1"/>
  <c r="D51" i="4"/>
  <c r="C72" i="4"/>
  <c r="C57" i="4"/>
  <c r="D12" i="5"/>
  <c r="D28" i="5"/>
  <c r="D11" i="5"/>
  <c r="D25" i="5"/>
  <c r="D15" i="5"/>
  <c r="D16" i="5"/>
  <c r="D34" i="5"/>
  <c r="D33" i="5"/>
  <c r="D18" i="5"/>
  <c r="D20" i="5"/>
  <c r="D19" i="5"/>
  <c r="D23" i="5"/>
  <c r="D21" i="5"/>
  <c r="D24" i="5"/>
  <c r="D17" i="5"/>
  <c r="D22" i="5"/>
  <c r="D13" i="5"/>
  <c r="H50" i="3"/>
  <c r="O33" i="4"/>
  <c r="C27" i="5" s="1"/>
  <c r="N35" i="4"/>
  <c r="S63" i="6" l="1"/>
  <c r="T63" i="6"/>
  <c r="K42" i="4"/>
  <c r="K40" i="4"/>
  <c r="DQ85" i="6"/>
  <c r="DP85" i="6" s="1"/>
  <c r="DR84" i="6"/>
  <c r="DS84" i="6" s="1"/>
  <c r="DM85" i="6"/>
  <c r="DL85" i="6" s="1"/>
  <c r="DN84" i="6"/>
  <c r="DO84" i="6" s="1"/>
  <c r="DI85" i="6"/>
  <c r="DH85" i="6"/>
  <c r="DJ84" i="6"/>
  <c r="DK84" i="6" s="1"/>
  <c r="CK85" i="6"/>
  <c r="CJ85" i="6" s="1"/>
  <c r="CL84" i="6"/>
  <c r="CM84" i="6" s="1"/>
  <c r="CG85" i="6"/>
  <c r="CH84" i="6"/>
  <c r="CI84" i="6" s="1"/>
  <c r="CF85" i="6"/>
  <c r="BU85" i="6"/>
  <c r="BV84" i="6"/>
  <c r="BW84" i="6" s="1"/>
  <c r="BT85" i="6"/>
  <c r="AO85" i="6"/>
  <c r="AN85" i="6" s="1"/>
  <c r="AP84" i="6"/>
  <c r="AQ84" i="6" s="1"/>
  <c r="AK85" i="6"/>
  <c r="AJ85" i="6" s="1"/>
  <c r="AL84" i="6"/>
  <c r="AM84" i="6" s="1"/>
  <c r="AG85" i="6"/>
  <c r="AF85" i="6" s="1"/>
  <c r="AH84" i="6"/>
  <c r="AI84" i="6" s="1"/>
  <c r="DE85" i="6"/>
  <c r="DD85" i="6" s="1"/>
  <c r="DF84" i="6"/>
  <c r="DG84" i="6" s="1"/>
  <c r="DA85" i="6"/>
  <c r="CZ85" i="6" s="1"/>
  <c r="DB84" i="6"/>
  <c r="DC84" i="6" s="1"/>
  <c r="CW85" i="6"/>
  <c r="CV85" i="6" s="1"/>
  <c r="CX84" i="6"/>
  <c r="CY84" i="6" s="1"/>
  <c r="CS85" i="6"/>
  <c r="CR85" i="6" s="1"/>
  <c r="CT84" i="6"/>
  <c r="CU84" i="6" s="1"/>
  <c r="CO85" i="6"/>
  <c r="CN85" i="6" s="1"/>
  <c r="CP84" i="6"/>
  <c r="CQ84" i="6" s="1"/>
  <c r="CC85" i="6"/>
  <c r="CB85" i="6" s="1"/>
  <c r="CD84" i="6"/>
  <c r="CE84" i="6" s="1"/>
  <c r="BY85" i="6"/>
  <c r="BX85" i="6" s="1"/>
  <c r="BZ84" i="6"/>
  <c r="CA84" i="6" s="1"/>
  <c r="BQ85" i="6"/>
  <c r="BP85" i="6" s="1"/>
  <c r="BR84" i="6"/>
  <c r="BS84" i="6" s="1"/>
  <c r="BM85" i="6"/>
  <c r="BL85" i="6" s="1"/>
  <c r="BN84" i="6"/>
  <c r="BO84" i="6" s="1"/>
  <c r="BI85" i="6"/>
  <c r="BH85" i="6" s="1"/>
  <c r="BJ84" i="6"/>
  <c r="BK84" i="6" s="1"/>
  <c r="BE85" i="6"/>
  <c r="BD85" i="6" s="1"/>
  <c r="BF84" i="6"/>
  <c r="BG84" i="6" s="1"/>
  <c r="BA85" i="6"/>
  <c r="AZ85" i="6" s="1"/>
  <c r="BB84" i="6"/>
  <c r="BC84" i="6" s="1"/>
  <c r="AW85" i="6"/>
  <c r="AV85" i="6" s="1"/>
  <c r="AX84" i="6"/>
  <c r="AY84" i="6" s="1"/>
  <c r="AS85" i="6"/>
  <c r="AR85" i="6" s="1"/>
  <c r="AT84" i="6"/>
  <c r="AU84" i="6" s="1"/>
  <c r="AC85" i="6"/>
  <c r="AD84" i="6"/>
  <c r="AE84" i="6" s="1"/>
  <c r="AB85" i="6"/>
  <c r="Y85" i="6"/>
  <c r="Z84" i="6"/>
  <c r="AA84" i="6" s="1"/>
  <c r="X85" i="6"/>
  <c r="D55" i="4"/>
  <c r="D54" i="4"/>
  <c r="C69" i="6"/>
  <c r="E49" i="4"/>
  <c r="D56" i="4"/>
  <c r="E68" i="6"/>
  <c r="C71" i="4"/>
  <c r="C29" i="5"/>
  <c r="D27" i="5"/>
  <c r="N36" i="4"/>
  <c r="O35" i="4"/>
  <c r="F67" i="6"/>
  <c r="K43" i="4" l="1"/>
  <c r="H64" i="6"/>
  <c r="K41" i="4"/>
  <c r="DQ86" i="6"/>
  <c r="DP86" i="6" s="1"/>
  <c r="DR85" i="6"/>
  <c r="DS85" i="6" s="1"/>
  <c r="DM86" i="6"/>
  <c r="DL86" i="6" s="1"/>
  <c r="DN85" i="6"/>
  <c r="DO85" i="6" s="1"/>
  <c r="DI86" i="6"/>
  <c r="DH86" i="6" s="1"/>
  <c r="DJ85" i="6"/>
  <c r="DK85" i="6" s="1"/>
  <c r="CK86" i="6"/>
  <c r="CJ86" i="6" s="1"/>
  <c r="CL85" i="6"/>
  <c r="CM85" i="6" s="1"/>
  <c r="CG86" i="6"/>
  <c r="CF86" i="6" s="1"/>
  <c r="CH85" i="6"/>
  <c r="CI85" i="6" s="1"/>
  <c r="BU86" i="6"/>
  <c r="BT86" i="6" s="1"/>
  <c r="BV85" i="6"/>
  <c r="BW85" i="6" s="1"/>
  <c r="AO86" i="6"/>
  <c r="AP85" i="6"/>
  <c r="AQ85" i="6" s="1"/>
  <c r="AN86" i="6"/>
  <c r="AK86" i="6"/>
  <c r="AJ86" i="6" s="1"/>
  <c r="AL85" i="6"/>
  <c r="AM85" i="6" s="1"/>
  <c r="AG86" i="6"/>
  <c r="AF86" i="6" s="1"/>
  <c r="AH85" i="6"/>
  <c r="AI85" i="6" s="1"/>
  <c r="DE86" i="6"/>
  <c r="DD86" i="6" s="1"/>
  <c r="DF85" i="6"/>
  <c r="DG85" i="6" s="1"/>
  <c r="DA86" i="6"/>
  <c r="CZ86" i="6" s="1"/>
  <c r="DB85" i="6"/>
  <c r="DC85" i="6" s="1"/>
  <c r="CW86" i="6"/>
  <c r="CV86" i="6" s="1"/>
  <c r="CX85" i="6"/>
  <c r="CY85" i="6" s="1"/>
  <c r="CS86" i="6"/>
  <c r="CR86" i="6" s="1"/>
  <c r="CT85" i="6"/>
  <c r="CU85" i="6" s="1"/>
  <c r="CO86" i="6"/>
  <c r="CP85" i="6"/>
  <c r="CQ85" i="6" s="1"/>
  <c r="CN86" i="6"/>
  <c r="CC86" i="6"/>
  <c r="CD85" i="6"/>
  <c r="CE85" i="6" s="1"/>
  <c r="CB86" i="6"/>
  <c r="BY86" i="6"/>
  <c r="BX86" i="6" s="1"/>
  <c r="BZ85" i="6"/>
  <c r="CA85" i="6" s="1"/>
  <c r="BQ86" i="6"/>
  <c r="BR85" i="6"/>
  <c r="BS85" i="6" s="1"/>
  <c r="BP86" i="6"/>
  <c r="BM86" i="6"/>
  <c r="BN85" i="6"/>
  <c r="BO85" i="6" s="1"/>
  <c r="BL86" i="6"/>
  <c r="BI86" i="6"/>
  <c r="BH86" i="6" s="1"/>
  <c r="BJ85" i="6"/>
  <c r="BK85" i="6" s="1"/>
  <c r="BE86" i="6"/>
  <c r="BD86" i="6" s="1"/>
  <c r="BF85" i="6"/>
  <c r="BG85" i="6" s="1"/>
  <c r="BA86" i="6"/>
  <c r="AZ86" i="6" s="1"/>
  <c r="BB85" i="6"/>
  <c r="BC85" i="6" s="1"/>
  <c r="AW86" i="6"/>
  <c r="AV86" i="6" s="1"/>
  <c r="AX85" i="6"/>
  <c r="AY85" i="6" s="1"/>
  <c r="AS86" i="6"/>
  <c r="AR86" i="6" s="1"/>
  <c r="AT85" i="6"/>
  <c r="AU85" i="6" s="1"/>
  <c r="AC86" i="6"/>
  <c r="AB86" i="6" s="1"/>
  <c r="AD85" i="6"/>
  <c r="AE85" i="6" s="1"/>
  <c r="Y86" i="6"/>
  <c r="X86" i="6" s="1"/>
  <c r="Z85" i="6"/>
  <c r="AA85" i="6" s="1"/>
  <c r="D57" i="4"/>
  <c r="E50" i="4"/>
  <c r="E52" i="4" s="1"/>
  <c r="E51" i="4"/>
  <c r="D72" i="4"/>
  <c r="C73" i="4"/>
  <c r="C30" i="5"/>
  <c r="H51" i="3"/>
  <c r="D29" i="5"/>
  <c r="G67" i="6"/>
  <c r="J67" i="6" s="1"/>
  <c r="O36" i="4"/>
  <c r="I64" i="6" l="1"/>
  <c r="L39" i="4"/>
  <c r="L38" i="4" s="1"/>
  <c r="DQ87" i="6"/>
  <c r="DP87" i="6" s="1"/>
  <c r="DR86" i="6"/>
  <c r="DS86" i="6" s="1"/>
  <c r="DM87" i="6"/>
  <c r="DL87" i="6" s="1"/>
  <c r="DN86" i="6"/>
  <c r="DO86" i="6" s="1"/>
  <c r="DI87" i="6"/>
  <c r="DH87" i="6"/>
  <c r="DJ86" i="6"/>
  <c r="DK86" i="6" s="1"/>
  <c r="CK87" i="6"/>
  <c r="CL86" i="6"/>
  <c r="CM86" i="6" s="1"/>
  <c r="CJ87" i="6"/>
  <c r="CG87" i="6"/>
  <c r="CH86" i="6"/>
  <c r="CI86" i="6" s="1"/>
  <c r="CF87" i="6"/>
  <c r="BU87" i="6"/>
  <c r="BT87" i="6" s="1"/>
  <c r="BV86" i="6"/>
  <c r="BW86" i="6" s="1"/>
  <c r="AO87" i="6"/>
  <c r="AP86" i="6"/>
  <c r="AQ86" i="6" s="1"/>
  <c r="AN87" i="6"/>
  <c r="AK87" i="6"/>
  <c r="AL86" i="6"/>
  <c r="AM86" i="6" s="1"/>
  <c r="AJ87" i="6"/>
  <c r="AG87" i="6"/>
  <c r="AF87" i="6" s="1"/>
  <c r="AH86" i="6"/>
  <c r="AI86" i="6" s="1"/>
  <c r="DE87" i="6"/>
  <c r="DD87" i="6" s="1"/>
  <c r="DF86" i="6"/>
  <c r="DG86" i="6" s="1"/>
  <c r="DA87" i="6"/>
  <c r="CZ87" i="6" s="1"/>
  <c r="DB86" i="6"/>
  <c r="DC86" i="6" s="1"/>
  <c r="CW87" i="6"/>
  <c r="CV87" i="6" s="1"/>
  <c r="CX86" i="6"/>
  <c r="CY86" i="6" s="1"/>
  <c r="CS87" i="6"/>
  <c r="CR87" i="6" s="1"/>
  <c r="CT86" i="6"/>
  <c r="CU86" i="6" s="1"/>
  <c r="CO87" i="6"/>
  <c r="CN87" i="6" s="1"/>
  <c r="CP86" i="6"/>
  <c r="CQ86" i="6" s="1"/>
  <c r="CC87" i="6"/>
  <c r="CB87" i="6" s="1"/>
  <c r="CD86" i="6"/>
  <c r="CE86" i="6" s="1"/>
  <c r="BY87" i="6"/>
  <c r="BZ86" i="6"/>
  <c r="CA86" i="6" s="1"/>
  <c r="BX87" i="6"/>
  <c r="BQ87" i="6"/>
  <c r="BP87" i="6" s="1"/>
  <c r="BR86" i="6"/>
  <c r="BS86" i="6" s="1"/>
  <c r="BM87" i="6"/>
  <c r="BN86" i="6"/>
  <c r="BO86" i="6" s="1"/>
  <c r="BL87" i="6"/>
  <c r="BI87" i="6"/>
  <c r="BH87" i="6" s="1"/>
  <c r="BJ86" i="6"/>
  <c r="BK86" i="6" s="1"/>
  <c r="BE87" i="6"/>
  <c r="BD87" i="6" s="1"/>
  <c r="BF86" i="6"/>
  <c r="BG86" i="6" s="1"/>
  <c r="BA87" i="6"/>
  <c r="AZ87" i="6" s="1"/>
  <c r="BB86" i="6"/>
  <c r="BC86" i="6" s="1"/>
  <c r="AW87" i="6"/>
  <c r="AV87" i="6" s="1"/>
  <c r="AX86" i="6"/>
  <c r="AY86" i="6" s="1"/>
  <c r="AS87" i="6"/>
  <c r="AR87" i="6" s="1"/>
  <c r="AT86" i="6"/>
  <c r="AU86" i="6" s="1"/>
  <c r="AC87" i="6"/>
  <c r="AB87" i="6" s="1"/>
  <c r="AD86" i="6"/>
  <c r="AE86" i="6" s="1"/>
  <c r="Y87" i="6"/>
  <c r="X87" i="6" s="1"/>
  <c r="Z86" i="6"/>
  <c r="AA86" i="6" s="1"/>
  <c r="D71" i="4"/>
  <c r="E69" i="6"/>
  <c r="E55" i="4"/>
  <c r="E54" i="4"/>
  <c r="E56" i="4"/>
  <c r="C70" i="6"/>
  <c r="F49" i="4"/>
  <c r="C74" i="4"/>
  <c r="F68" i="6"/>
  <c r="B11" i="3"/>
  <c r="H52" i="3"/>
  <c r="C31" i="5"/>
  <c r="D30" i="5"/>
  <c r="V67" i="6"/>
  <c r="S64" i="6" l="1"/>
  <c r="T64" i="6"/>
  <c r="L42" i="4"/>
  <c r="L40" i="4"/>
  <c r="DQ88" i="6"/>
  <c r="DP88" i="6" s="1"/>
  <c r="DR87" i="6"/>
  <c r="DS87" i="6" s="1"/>
  <c r="DM88" i="6"/>
  <c r="DL88" i="6" s="1"/>
  <c r="DN87" i="6"/>
  <c r="DO87" i="6" s="1"/>
  <c r="DI88" i="6"/>
  <c r="DH88" i="6" s="1"/>
  <c r="DJ87" i="6"/>
  <c r="DK87" i="6" s="1"/>
  <c r="CK88" i="6"/>
  <c r="CJ88" i="6" s="1"/>
  <c r="CL87" i="6"/>
  <c r="CM87" i="6" s="1"/>
  <c r="CG88" i="6"/>
  <c r="CF88" i="6" s="1"/>
  <c r="CH87" i="6"/>
  <c r="CI87" i="6" s="1"/>
  <c r="BU88" i="6"/>
  <c r="BT88" i="6" s="1"/>
  <c r="BV87" i="6"/>
  <c r="BW87" i="6" s="1"/>
  <c r="AO88" i="6"/>
  <c r="AN88" i="6" s="1"/>
  <c r="AP87" i="6"/>
  <c r="AQ87" i="6" s="1"/>
  <c r="AK88" i="6"/>
  <c r="AJ88" i="6" s="1"/>
  <c r="AL87" i="6"/>
  <c r="AM87" i="6" s="1"/>
  <c r="AG88" i="6"/>
  <c r="AF88" i="6" s="1"/>
  <c r="AH87" i="6"/>
  <c r="AI87" i="6" s="1"/>
  <c r="DE88" i="6"/>
  <c r="DD88" i="6" s="1"/>
  <c r="DF87" i="6"/>
  <c r="DG87" i="6" s="1"/>
  <c r="DA88" i="6"/>
  <c r="CZ88" i="6" s="1"/>
  <c r="DB87" i="6"/>
  <c r="DC87" i="6" s="1"/>
  <c r="CW88" i="6"/>
  <c r="CV88" i="6" s="1"/>
  <c r="CX87" i="6"/>
  <c r="CY87" i="6" s="1"/>
  <c r="CS88" i="6"/>
  <c r="CT87" i="6"/>
  <c r="CU87" i="6" s="1"/>
  <c r="CR88" i="6"/>
  <c r="CO88" i="6"/>
  <c r="CN88" i="6" s="1"/>
  <c r="CP87" i="6"/>
  <c r="CQ87" i="6" s="1"/>
  <c r="CC88" i="6"/>
  <c r="CB88" i="6" s="1"/>
  <c r="CD87" i="6"/>
  <c r="CE87" i="6" s="1"/>
  <c r="BY88" i="6"/>
  <c r="BX88" i="6" s="1"/>
  <c r="BZ87" i="6"/>
  <c r="CA87" i="6" s="1"/>
  <c r="BQ88" i="6"/>
  <c r="BP88" i="6" s="1"/>
  <c r="BR87" i="6"/>
  <c r="BS87" i="6" s="1"/>
  <c r="BM88" i="6"/>
  <c r="BL88" i="6" s="1"/>
  <c r="BN87" i="6"/>
  <c r="BO87" i="6" s="1"/>
  <c r="BI88" i="6"/>
  <c r="BJ87" i="6"/>
  <c r="BK87" i="6" s="1"/>
  <c r="BH88" i="6"/>
  <c r="BE88" i="6"/>
  <c r="BF87" i="6"/>
  <c r="BG87" i="6" s="1"/>
  <c r="BD88" i="6"/>
  <c r="BA88" i="6"/>
  <c r="BB87" i="6"/>
  <c r="BC87" i="6" s="1"/>
  <c r="AZ88" i="6"/>
  <c r="AW88" i="6"/>
  <c r="AX87" i="6"/>
  <c r="AY87" i="6" s="1"/>
  <c r="AV88" i="6"/>
  <c r="AS88" i="6"/>
  <c r="AR88" i="6" s="1"/>
  <c r="AT87" i="6"/>
  <c r="AU87" i="6" s="1"/>
  <c r="AC88" i="6"/>
  <c r="AB88" i="6" s="1"/>
  <c r="AD87" i="6"/>
  <c r="AE87" i="6" s="1"/>
  <c r="Y88" i="6"/>
  <c r="Z87" i="6"/>
  <c r="AA87" i="6" s="1"/>
  <c r="X88" i="6"/>
  <c r="D73" i="4"/>
  <c r="E57" i="4"/>
  <c r="E72" i="4"/>
  <c r="F51" i="4"/>
  <c r="F50" i="4" s="1"/>
  <c r="F52" i="4" s="1"/>
  <c r="G68" i="6"/>
  <c r="J68" i="6" s="1"/>
  <c r="V68" i="6"/>
  <c r="L43" i="4" l="1"/>
  <c r="H65" i="6"/>
  <c r="L41" i="4"/>
  <c r="DQ89" i="6"/>
  <c r="DP89" i="6" s="1"/>
  <c r="DR88" i="6"/>
  <c r="DS88" i="6" s="1"/>
  <c r="DM89" i="6"/>
  <c r="DL89" i="6" s="1"/>
  <c r="DN88" i="6"/>
  <c r="DO88" i="6" s="1"/>
  <c r="DI89" i="6"/>
  <c r="DJ88" i="6"/>
  <c r="DK88" i="6" s="1"/>
  <c r="DH89" i="6"/>
  <c r="CK89" i="6"/>
  <c r="CJ89" i="6" s="1"/>
  <c r="CL88" i="6"/>
  <c r="CM88" i="6" s="1"/>
  <c r="CG89" i="6"/>
  <c r="CF89" i="6" s="1"/>
  <c r="CH88" i="6"/>
  <c r="CI88" i="6" s="1"/>
  <c r="BU89" i="6"/>
  <c r="BV88" i="6"/>
  <c r="BW88" i="6" s="1"/>
  <c r="BT89" i="6"/>
  <c r="AO89" i="6"/>
  <c r="AP88" i="6"/>
  <c r="AQ88" i="6" s="1"/>
  <c r="AN89" i="6"/>
  <c r="AK89" i="6"/>
  <c r="AJ89" i="6" s="1"/>
  <c r="AL88" i="6"/>
  <c r="AM88" i="6" s="1"/>
  <c r="AG89" i="6"/>
  <c r="AF89" i="6" s="1"/>
  <c r="AH88" i="6"/>
  <c r="AI88" i="6" s="1"/>
  <c r="DE89" i="6"/>
  <c r="DD89" i="6" s="1"/>
  <c r="DF88" i="6"/>
  <c r="DG88" i="6" s="1"/>
  <c r="DA89" i="6"/>
  <c r="CZ89" i="6" s="1"/>
  <c r="DB88" i="6"/>
  <c r="DC88" i="6" s="1"/>
  <c r="CW89" i="6"/>
  <c r="CV89" i="6" s="1"/>
  <c r="CX88" i="6"/>
  <c r="CY88" i="6" s="1"/>
  <c r="CS89" i="6"/>
  <c r="CR89" i="6" s="1"/>
  <c r="CT88" i="6"/>
  <c r="CU88" i="6" s="1"/>
  <c r="CO89" i="6"/>
  <c r="CN89" i="6" s="1"/>
  <c r="CP88" i="6"/>
  <c r="CQ88" i="6" s="1"/>
  <c r="CC89" i="6"/>
  <c r="CB89" i="6" s="1"/>
  <c r="CD88" i="6"/>
  <c r="CE88" i="6" s="1"/>
  <c r="BY89" i="6"/>
  <c r="BZ88" i="6"/>
  <c r="CA88" i="6" s="1"/>
  <c r="BX89" i="6"/>
  <c r="BQ89" i="6"/>
  <c r="BP89" i="6" s="1"/>
  <c r="BR88" i="6"/>
  <c r="BS88" i="6" s="1"/>
  <c r="BM89" i="6"/>
  <c r="BL89" i="6" s="1"/>
  <c r="BN88" i="6"/>
  <c r="BO88" i="6" s="1"/>
  <c r="BI89" i="6"/>
  <c r="BH89" i="6" s="1"/>
  <c r="BJ88" i="6"/>
  <c r="BK88" i="6" s="1"/>
  <c r="BE89" i="6"/>
  <c r="BD89" i="6" s="1"/>
  <c r="BF88" i="6"/>
  <c r="BG88" i="6" s="1"/>
  <c r="BA89" i="6"/>
  <c r="AZ89" i="6" s="1"/>
  <c r="BB88" i="6"/>
  <c r="BC88" i="6" s="1"/>
  <c r="AW89" i="6"/>
  <c r="AV89" i="6" s="1"/>
  <c r="AX88" i="6"/>
  <c r="AY88" i="6" s="1"/>
  <c r="AS89" i="6"/>
  <c r="AR89" i="6" s="1"/>
  <c r="AT88" i="6"/>
  <c r="AU88" i="6" s="1"/>
  <c r="AC89" i="6"/>
  <c r="AB89" i="6" s="1"/>
  <c r="AD88" i="6"/>
  <c r="AE88" i="6" s="1"/>
  <c r="Y89" i="6"/>
  <c r="X89" i="6" s="1"/>
  <c r="Z88" i="6"/>
  <c r="AA88" i="6" s="1"/>
  <c r="D74" i="4"/>
  <c r="F69" i="6"/>
  <c r="E70" i="6"/>
  <c r="E71" i="4"/>
  <c r="F55" i="4"/>
  <c r="G49" i="4"/>
  <c r="F56" i="4"/>
  <c r="C71" i="6"/>
  <c r="F54" i="4"/>
  <c r="I65" i="6" l="1"/>
  <c r="M39" i="4"/>
  <c r="M38" i="4" s="1"/>
  <c r="DQ90" i="6"/>
  <c r="DR89" i="6"/>
  <c r="DS89" i="6" s="1"/>
  <c r="DP90" i="6"/>
  <c r="DM90" i="6"/>
  <c r="DL90" i="6" s="1"/>
  <c r="DN89" i="6"/>
  <c r="DO89" i="6" s="1"/>
  <c r="DI90" i="6"/>
  <c r="DH90" i="6" s="1"/>
  <c r="DJ89" i="6"/>
  <c r="DK89" i="6" s="1"/>
  <c r="CK90" i="6"/>
  <c r="CJ90" i="6" s="1"/>
  <c r="CL89" i="6"/>
  <c r="CM89" i="6" s="1"/>
  <c r="CG90" i="6"/>
  <c r="CF90" i="6" s="1"/>
  <c r="CH89" i="6"/>
  <c r="CI89" i="6" s="1"/>
  <c r="BU90" i="6"/>
  <c r="BV89" i="6"/>
  <c r="BW89" i="6" s="1"/>
  <c r="BT90" i="6"/>
  <c r="AO90" i="6"/>
  <c r="AP89" i="6"/>
  <c r="AQ89" i="6" s="1"/>
  <c r="AN90" i="6"/>
  <c r="AK90" i="6"/>
  <c r="AJ90" i="6" s="1"/>
  <c r="AL89" i="6"/>
  <c r="AM89" i="6" s="1"/>
  <c r="AG90" i="6"/>
  <c r="AH89" i="6"/>
  <c r="AI89" i="6" s="1"/>
  <c r="AF90" i="6"/>
  <c r="DE90" i="6"/>
  <c r="DD90" i="6" s="1"/>
  <c r="DF89" i="6"/>
  <c r="DG89" i="6" s="1"/>
  <c r="DA90" i="6"/>
  <c r="CZ90" i="6" s="1"/>
  <c r="DB89" i="6"/>
  <c r="DC89" i="6" s="1"/>
  <c r="CW90" i="6"/>
  <c r="CX89" i="6"/>
  <c r="CY89" i="6" s="1"/>
  <c r="CV90" i="6"/>
  <c r="CS90" i="6"/>
  <c r="CT89" i="6"/>
  <c r="CU89" i="6" s="1"/>
  <c r="CR90" i="6"/>
  <c r="CO90" i="6"/>
  <c r="CP89" i="6"/>
  <c r="CQ89" i="6" s="1"/>
  <c r="CN90" i="6"/>
  <c r="CC90" i="6"/>
  <c r="CB90" i="6" s="1"/>
  <c r="CD89" i="6"/>
  <c r="CE89" i="6" s="1"/>
  <c r="BY90" i="6"/>
  <c r="BX90" i="6" s="1"/>
  <c r="BZ89" i="6"/>
  <c r="CA89" i="6" s="1"/>
  <c r="BQ90" i="6"/>
  <c r="BP90" i="6" s="1"/>
  <c r="BR89" i="6"/>
  <c r="BS89" i="6" s="1"/>
  <c r="BM90" i="6"/>
  <c r="BN89" i="6"/>
  <c r="BO89" i="6" s="1"/>
  <c r="BL90" i="6"/>
  <c r="BI90" i="6"/>
  <c r="BH90" i="6" s="1"/>
  <c r="BJ89" i="6"/>
  <c r="BK89" i="6" s="1"/>
  <c r="BE90" i="6"/>
  <c r="BD90" i="6" s="1"/>
  <c r="BF89" i="6"/>
  <c r="BG89" i="6" s="1"/>
  <c r="BA90" i="6"/>
  <c r="BB89" i="6"/>
  <c r="BC89" i="6" s="1"/>
  <c r="AZ90" i="6"/>
  <c r="AW90" i="6"/>
  <c r="AV90" i="6" s="1"/>
  <c r="AX89" i="6"/>
  <c r="AY89" i="6" s="1"/>
  <c r="AS90" i="6"/>
  <c r="AR90" i="6" s="1"/>
  <c r="AT89" i="6"/>
  <c r="AU89" i="6" s="1"/>
  <c r="AC90" i="6"/>
  <c r="AB90" i="6" s="1"/>
  <c r="AD89" i="6"/>
  <c r="AE89" i="6" s="1"/>
  <c r="Y90" i="6"/>
  <c r="X90" i="6" s="1"/>
  <c r="Z89" i="6"/>
  <c r="AA89" i="6" s="1"/>
  <c r="G69" i="6"/>
  <c r="J69" i="6" s="1"/>
  <c r="E73" i="4"/>
  <c r="G51" i="4"/>
  <c r="G50" i="4" s="1"/>
  <c r="G52" i="4" s="1"/>
  <c r="F72" i="4"/>
  <c r="F57" i="4"/>
  <c r="S65" i="6" l="1"/>
  <c r="T65" i="6"/>
  <c r="M42" i="4"/>
  <c r="M40" i="4"/>
  <c r="DQ91" i="6"/>
  <c r="DP91" i="6" s="1"/>
  <c r="DR91" i="6" s="1"/>
  <c r="DS91" i="6" s="1"/>
  <c r="DR90" i="6"/>
  <c r="DS90" i="6" s="1"/>
  <c r="DM91" i="6"/>
  <c r="DN90" i="6"/>
  <c r="DO90" i="6" s="1"/>
  <c r="DL91" i="6"/>
  <c r="DN91" i="6" s="1"/>
  <c r="DO91" i="6" s="1"/>
  <c r="DI91" i="6"/>
  <c r="DH91" i="6" s="1"/>
  <c r="DJ91" i="6" s="1"/>
  <c r="DK91" i="6" s="1"/>
  <c r="DJ90" i="6"/>
  <c r="DK90" i="6" s="1"/>
  <c r="CK91" i="6"/>
  <c r="CJ91" i="6" s="1"/>
  <c r="CL91" i="6" s="1"/>
  <c r="CM91" i="6" s="1"/>
  <c r="CL90" i="6"/>
  <c r="CM90" i="6" s="1"/>
  <c r="CG91" i="6"/>
  <c r="CF91" i="6" s="1"/>
  <c r="CH91" i="6" s="1"/>
  <c r="CI91" i="6" s="1"/>
  <c r="C39" i="6" s="1"/>
  <c r="CH90" i="6"/>
  <c r="CI90" i="6" s="1"/>
  <c r="BU91" i="6"/>
  <c r="BT91" i="6" s="1"/>
  <c r="BV91" i="6" s="1"/>
  <c r="BW91" i="6" s="1"/>
  <c r="BV90" i="6"/>
  <c r="BW90" i="6" s="1"/>
  <c r="AO91" i="6"/>
  <c r="AN91" i="6" s="1"/>
  <c r="AP91" i="6" s="1"/>
  <c r="AQ91" i="6" s="1"/>
  <c r="G36" i="6" s="1"/>
  <c r="AP90" i="6"/>
  <c r="AQ90" i="6" s="1"/>
  <c r="AK91" i="6"/>
  <c r="AL90" i="6"/>
  <c r="AM90" i="6" s="1"/>
  <c r="AJ91" i="6"/>
  <c r="AL91" i="6" s="1"/>
  <c r="AM91" i="6" s="1"/>
  <c r="F36" i="6" s="1"/>
  <c r="AG91" i="6"/>
  <c r="AF91" i="6" s="1"/>
  <c r="AH91" i="6" s="1"/>
  <c r="AI91" i="6" s="1"/>
  <c r="E36" i="6" s="1"/>
  <c r="AH90" i="6"/>
  <c r="AI90" i="6" s="1"/>
  <c r="DE91" i="6"/>
  <c r="DD91" i="6" s="1"/>
  <c r="DF91" i="6" s="1"/>
  <c r="DG91" i="6" s="1"/>
  <c r="DF90" i="6"/>
  <c r="DG90" i="6" s="1"/>
  <c r="DA91" i="6"/>
  <c r="CZ91" i="6" s="1"/>
  <c r="DB91" i="6" s="1"/>
  <c r="DC91" i="6" s="1"/>
  <c r="DB90" i="6"/>
  <c r="DC90" i="6" s="1"/>
  <c r="CW91" i="6"/>
  <c r="CV91" i="6" s="1"/>
  <c r="CX91" i="6" s="1"/>
  <c r="CY91" i="6" s="1"/>
  <c r="CX90" i="6"/>
  <c r="CY90" i="6" s="1"/>
  <c r="CS91" i="6"/>
  <c r="CR91" i="6" s="1"/>
  <c r="CT91" i="6" s="1"/>
  <c r="CU91" i="6" s="1"/>
  <c r="CT90" i="6"/>
  <c r="CU90" i="6" s="1"/>
  <c r="CO91" i="6"/>
  <c r="CP90" i="6"/>
  <c r="CQ90" i="6" s="1"/>
  <c r="CN91" i="6"/>
  <c r="CP91" i="6" s="1"/>
  <c r="CQ91" i="6" s="1"/>
  <c r="CC91" i="6"/>
  <c r="CD90" i="6"/>
  <c r="CE90" i="6" s="1"/>
  <c r="CB91" i="6"/>
  <c r="CD91" i="6" s="1"/>
  <c r="CE91" i="6" s="1"/>
  <c r="BY91" i="6"/>
  <c r="BZ90" i="6"/>
  <c r="CA90" i="6" s="1"/>
  <c r="BX91" i="6"/>
  <c r="BZ91" i="6" s="1"/>
  <c r="CA91" i="6" s="1"/>
  <c r="BQ91" i="6"/>
  <c r="BR90" i="6"/>
  <c r="BS90" i="6" s="1"/>
  <c r="BP91" i="6"/>
  <c r="BR91" i="6" s="1"/>
  <c r="BS91" i="6" s="1"/>
  <c r="D38" i="6" s="1"/>
  <c r="BM91" i="6"/>
  <c r="BL91" i="6" s="1"/>
  <c r="BN91" i="6" s="1"/>
  <c r="BO91" i="6" s="1"/>
  <c r="C38" i="6" s="1"/>
  <c r="BN90" i="6"/>
  <c r="BO90" i="6" s="1"/>
  <c r="BI91" i="6"/>
  <c r="BH91" i="6" s="1"/>
  <c r="BJ91" i="6" s="1"/>
  <c r="BK91" i="6" s="1"/>
  <c r="G37" i="6" s="1"/>
  <c r="BJ90" i="6"/>
  <c r="BK90" i="6" s="1"/>
  <c r="BE91" i="6"/>
  <c r="BD91" i="6" s="1"/>
  <c r="BF91" i="6" s="1"/>
  <c r="BG91" i="6" s="1"/>
  <c r="F37" i="6" s="1"/>
  <c r="BF90" i="6"/>
  <c r="BG90" i="6" s="1"/>
  <c r="BA91" i="6"/>
  <c r="AZ91" i="6" s="1"/>
  <c r="BB91" i="6" s="1"/>
  <c r="BC91" i="6" s="1"/>
  <c r="E37" i="6" s="1"/>
  <c r="BB90" i="6"/>
  <c r="BC90" i="6" s="1"/>
  <c r="AW91" i="6"/>
  <c r="AV91" i="6" s="1"/>
  <c r="AX91" i="6" s="1"/>
  <c r="AY91" i="6" s="1"/>
  <c r="D37" i="6" s="1"/>
  <c r="AX90" i="6"/>
  <c r="AY90" i="6" s="1"/>
  <c r="AS91" i="6"/>
  <c r="AT90" i="6"/>
  <c r="AU90" i="6" s="1"/>
  <c r="AR91" i="6"/>
  <c r="AT91" i="6" s="1"/>
  <c r="AU91" i="6" s="1"/>
  <c r="C37" i="6" s="1"/>
  <c r="AC91" i="6"/>
  <c r="AB91" i="6" s="1"/>
  <c r="AD91" i="6" s="1"/>
  <c r="AE91" i="6" s="1"/>
  <c r="D36" i="6" s="1"/>
  <c r="AD90" i="6"/>
  <c r="AE90" i="6" s="1"/>
  <c r="Y91" i="6"/>
  <c r="Z90" i="6"/>
  <c r="AA90" i="6" s="1"/>
  <c r="X91" i="6"/>
  <c r="Z91" i="6" s="1"/>
  <c r="AA91" i="6" s="1"/>
  <c r="C36" i="6" s="1"/>
  <c r="V69" i="6"/>
  <c r="E74" i="4"/>
  <c r="F70" i="6"/>
  <c r="G55" i="4"/>
  <c r="C72" i="6"/>
  <c r="H49" i="4"/>
  <c r="G54" i="4"/>
  <c r="G56" i="4"/>
  <c r="E71" i="6"/>
  <c r="F71" i="4"/>
  <c r="M43" i="4" l="1"/>
  <c r="H66" i="6"/>
  <c r="M41" i="4"/>
  <c r="G70" i="6"/>
  <c r="J70" i="6" s="1"/>
  <c r="H51" i="4"/>
  <c r="H50" i="4" s="1"/>
  <c r="H52" i="4" s="1"/>
  <c r="G57" i="4"/>
  <c r="G72" i="4"/>
  <c r="F73" i="4"/>
  <c r="I66" i="6" l="1"/>
  <c r="N39" i="4"/>
  <c r="O39" i="4" s="1"/>
  <c r="C35" i="5" s="1"/>
  <c r="N38" i="4"/>
  <c r="V70" i="6"/>
  <c r="H55" i="4"/>
  <c r="I49" i="4"/>
  <c r="H56" i="4"/>
  <c r="H54" i="4"/>
  <c r="C73" i="6"/>
  <c r="E72" i="6"/>
  <c r="G71" i="4"/>
  <c r="F74" i="4"/>
  <c r="F71" i="6"/>
  <c r="S66" i="6" l="1"/>
  <c r="T66" i="6"/>
  <c r="C36" i="5"/>
  <c r="D35" i="5"/>
  <c r="G49" i="6"/>
  <c r="F49" i="6"/>
  <c r="D48" i="6"/>
  <c r="D47" i="6"/>
  <c r="F45" i="6"/>
  <c r="E45" i="6"/>
  <c r="D49" i="6"/>
  <c r="C49" i="6"/>
  <c r="G48" i="6"/>
  <c r="F47" i="6"/>
  <c r="F46" i="6"/>
  <c r="D46" i="6"/>
  <c r="F48" i="6"/>
  <c r="E48" i="6"/>
  <c r="G47" i="6"/>
  <c r="C47" i="6"/>
  <c r="G46" i="6"/>
  <c r="E46" i="6"/>
  <c r="C46" i="6"/>
  <c r="E49" i="6"/>
  <c r="C48" i="6"/>
  <c r="D45" i="6"/>
  <c r="C45" i="6"/>
  <c r="G45" i="6"/>
  <c r="E47" i="6"/>
  <c r="O38" i="4"/>
  <c r="C15" i="6" s="1"/>
  <c r="C16" i="6" s="1"/>
  <c r="J7" i="3" s="1"/>
  <c r="N42" i="4"/>
  <c r="N40" i="4"/>
  <c r="I51" i="4"/>
  <c r="I50" i="4" s="1"/>
  <c r="I52" i="4" s="1"/>
  <c r="H72" i="4"/>
  <c r="H57" i="4"/>
  <c r="G73" i="4"/>
  <c r="G71" i="6"/>
  <c r="J71" i="6" s="1"/>
  <c r="B10" i="3" l="1"/>
  <c r="H53" i="3"/>
  <c r="C41" i="5"/>
  <c r="D36" i="5"/>
  <c r="N43" i="4"/>
  <c r="O42" i="4"/>
  <c r="H67" i="6"/>
  <c r="N41" i="4"/>
  <c r="O40" i="4"/>
  <c r="C44" i="5" s="1"/>
  <c r="I55" i="4"/>
  <c r="I56" i="4"/>
  <c r="C74" i="6"/>
  <c r="I54" i="4"/>
  <c r="J49" i="4"/>
  <c r="E73" i="6"/>
  <c r="H71" i="4"/>
  <c r="G74" i="4"/>
  <c r="F72" i="6"/>
  <c r="V71" i="6"/>
  <c r="O43" i="4" l="1"/>
  <c r="H54" i="3" s="1"/>
  <c r="I67" i="6"/>
  <c r="C77" i="4"/>
  <c r="C76" i="4"/>
  <c r="O41" i="4"/>
  <c r="I72" i="4"/>
  <c r="I57" i="4"/>
  <c r="J51" i="4"/>
  <c r="J50" i="4" s="1"/>
  <c r="J52" i="4" s="1"/>
  <c r="H73" i="4"/>
  <c r="G72" i="6"/>
  <c r="J72" i="6" s="1"/>
  <c r="V72" i="6" s="1"/>
  <c r="C45" i="5"/>
  <c r="C46" i="5" s="1"/>
  <c r="S67" i="6" l="1"/>
  <c r="T67" i="6"/>
  <c r="C80" i="4"/>
  <c r="C78" i="4"/>
  <c r="E74" i="6"/>
  <c r="I71" i="4"/>
  <c r="J55" i="4"/>
  <c r="J56" i="4"/>
  <c r="C75" i="6"/>
  <c r="J54" i="4"/>
  <c r="K49" i="4"/>
  <c r="H74" i="4"/>
  <c r="F73" i="6"/>
  <c r="C81" i="4" l="1"/>
  <c r="H68" i="6"/>
  <c r="C79" i="4"/>
  <c r="I73" i="4"/>
  <c r="J72" i="4"/>
  <c r="J57" i="4"/>
  <c r="K51" i="4"/>
  <c r="K50" i="4" s="1"/>
  <c r="K52" i="4" s="1"/>
  <c r="G73" i="6"/>
  <c r="J73" i="6" s="1"/>
  <c r="I68" i="6" l="1"/>
  <c r="D77" i="4"/>
  <c r="D76" i="4"/>
  <c r="I74" i="4"/>
  <c r="F74" i="6"/>
  <c r="E75" i="6"/>
  <c r="J71" i="4"/>
  <c r="K55" i="4"/>
  <c r="K54" i="4"/>
  <c r="L49" i="4"/>
  <c r="K56" i="4"/>
  <c r="C76" i="6"/>
  <c r="V73" i="6"/>
  <c r="S68" i="6" l="1"/>
  <c r="T68" i="6"/>
  <c r="D80" i="4"/>
  <c r="D78" i="4"/>
  <c r="G74" i="6"/>
  <c r="J74" i="6" s="1"/>
  <c r="V74" i="6" s="1"/>
  <c r="J73" i="4"/>
  <c r="K57" i="4"/>
  <c r="L50" i="4"/>
  <c r="L52" i="4" s="1"/>
  <c r="L51" i="4"/>
  <c r="K72" i="4"/>
  <c r="D81" i="4" l="1"/>
  <c r="H69" i="6"/>
  <c r="D79" i="4"/>
  <c r="J74" i="4"/>
  <c r="F75" i="6"/>
  <c r="E76" i="6"/>
  <c r="K71" i="4"/>
  <c r="L55" i="4"/>
  <c r="L54" i="4"/>
  <c r="L56" i="4"/>
  <c r="M49" i="4"/>
  <c r="C77" i="6"/>
  <c r="I69" i="6" l="1"/>
  <c r="E77" i="4"/>
  <c r="E76" i="4" s="1"/>
  <c r="G75" i="6"/>
  <c r="J75" i="6" s="1"/>
  <c r="K73" i="4"/>
  <c r="L57" i="4"/>
  <c r="L72" i="4"/>
  <c r="M50" i="4"/>
  <c r="M52" i="4" s="1"/>
  <c r="M51" i="4"/>
  <c r="S69" i="6" l="1"/>
  <c r="T69" i="6"/>
  <c r="E80" i="4"/>
  <c r="E78" i="4"/>
  <c r="V75" i="6"/>
  <c r="K74" i="4"/>
  <c r="F76" i="6"/>
  <c r="L71" i="4"/>
  <c r="E77" i="6"/>
  <c r="M55" i="4"/>
  <c r="M54" i="4"/>
  <c r="M56" i="4"/>
  <c r="N49" i="4"/>
  <c r="C78" i="6"/>
  <c r="E81" i="4" l="1"/>
  <c r="H70" i="6"/>
  <c r="E79" i="4"/>
  <c r="G76" i="6"/>
  <c r="J76" i="6" s="1"/>
  <c r="L73" i="4"/>
  <c r="M57" i="4"/>
  <c r="M72" i="4"/>
  <c r="N50" i="4"/>
  <c r="N52" i="4" s="1"/>
  <c r="N51" i="4"/>
  <c r="O51" i="4" s="1"/>
  <c r="I70" i="6" l="1"/>
  <c r="F77" i="4"/>
  <c r="F76" i="4" s="1"/>
  <c r="V76" i="6"/>
  <c r="L74" i="4"/>
  <c r="F77" i="6"/>
  <c r="E78" i="6"/>
  <c r="M71" i="4"/>
  <c r="O50" i="4"/>
  <c r="N55" i="4"/>
  <c r="O55" i="4" s="1"/>
  <c r="E11" i="5" s="1"/>
  <c r="E8" i="5"/>
  <c r="N56" i="4"/>
  <c r="C79" i="6"/>
  <c r="O52" i="4"/>
  <c r="N54" i="4"/>
  <c r="C87" i="4"/>
  <c r="S70" i="6" l="1"/>
  <c r="T70" i="6"/>
  <c r="F80" i="4"/>
  <c r="F78" i="4"/>
  <c r="G77" i="6"/>
  <c r="J77" i="6" s="1"/>
  <c r="M73" i="4"/>
  <c r="O56" i="4"/>
  <c r="E12" i="5" s="1"/>
  <c r="N72" i="4"/>
  <c r="O72" i="4" s="1"/>
  <c r="E28" i="5" s="1"/>
  <c r="E7" i="5"/>
  <c r="D17" i="6"/>
  <c r="K49" i="3"/>
  <c r="O54" i="4"/>
  <c r="E10" i="5" s="1"/>
  <c r="N57" i="4"/>
  <c r="C88" i="4"/>
  <c r="C90" i="4" s="1"/>
  <c r="O87" i="4"/>
  <c r="C89" i="4"/>
  <c r="F81" i="4" l="1"/>
  <c r="H71" i="6"/>
  <c r="F79" i="4"/>
  <c r="V77" i="6"/>
  <c r="M74" i="4"/>
  <c r="F78" i="6"/>
  <c r="E13" i="5"/>
  <c r="F10" i="5"/>
  <c r="O57" i="4"/>
  <c r="N71" i="4"/>
  <c r="E79" i="6"/>
  <c r="C93" i="4"/>
  <c r="C92" i="4"/>
  <c r="C94" i="4"/>
  <c r="C80" i="6"/>
  <c r="D87" i="4"/>
  <c r="I71" i="6" l="1"/>
  <c r="G77" i="4"/>
  <c r="G76" i="4"/>
  <c r="G78" i="6"/>
  <c r="J78" i="6" s="1"/>
  <c r="F28" i="5"/>
  <c r="F12" i="5"/>
  <c r="F11" i="5"/>
  <c r="F25" i="5"/>
  <c r="F15" i="5"/>
  <c r="F16" i="5"/>
  <c r="F34" i="5"/>
  <c r="F33" i="5"/>
  <c r="F17" i="5"/>
  <c r="F18" i="5"/>
  <c r="F23" i="5"/>
  <c r="F19" i="5"/>
  <c r="F22" i="5"/>
  <c r="F24" i="5"/>
  <c r="F21" i="5"/>
  <c r="F20" i="5"/>
  <c r="F13" i="5"/>
  <c r="K50" i="3"/>
  <c r="O71" i="4"/>
  <c r="E27" i="5" s="1"/>
  <c r="N73" i="4"/>
  <c r="C95" i="4"/>
  <c r="C110" i="4"/>
  <c r="D88" i="4"/>
  <c r="D90" i="4" s="1"/>
  <c r="D89" i="4"/>
  <c r="S71" i="6" l="1"/>
  <c r="T71" i="6"/>
  <c r="G80" i="4"/>
  <c r="G78" i="4"/>
  <c r="V78" i="6"/>
  <c r="E29" i="5"/>
  <c r="F27" i="5"/>
  <c r="N74" i="4"/>
  <c r="O73" i="4"/>
  <c r="F79" i="6"/>
  <c r="C109" i="4"/>
  <c r="E80" i="6"/>
  <c r="D93" i="4"/>
  <c r="D92" i="4"/>
  <c r="D94" i="4"/>
  <c r="C81" i="6"/>
  <c r="E87" i="4"/>
  <c r="G81" i="4" l="1"/>
  <c r="H72" i="6"/>
  <c r="G79" i="4"/>
  <c r="E30" i="5"/>
  <c r="K51" i="3"/>
  <c r="F29" i="5"/>
  <c r="O74" i="4"/>
  <c r="G79" i="6"/>
  <c r="J79" i="6" s="1"/>
  <c r="C111" i="4"/>
  <c r="D95" i="4"/>
  <c r="D110" i="4"/>
  <c r="E89" i="4"/>
  <c r="E88" i="4" s="1"/>
  <c r="E90" i="4" s="1"/>
  <c r="I72" i="6" l="1"/>
  <c r="H77" i="4"/>
  <c r="H76" i="4" s="1"/>
  <c r="F11" i="3"/>
  <c r="K52" i="3"/>
  <c r="E31" i="5"/>
  <c r="F30" i="5"/>
  <c r="V79" i="6"/>
  <c r="C112" i="4"/>
  <c r="F80" i="6"/>
  <c r="D109" i="4"/>
  <c r="E81" i="6"/>
  <c r="E93" i="4"/>
  <c r="E92" i="4"/>
  <c r="E94" i="4"/>
  <c r="C82" i="6"/>
  <c r="F87" i="4"/>
  <c r="T72" i="6" l="1"/>
  <c r="S72" i="6"/>
  <c r="H80" i="4"/>
  <c r="H78" i="4"/>
  <c r="G80" i="6"/>
  <c r="J80" i="6" s="1"/>
  <c r="D111" i="4"/>
  <c r="E95" i="4"/>
  <c r="E110" i="4"/>
  <c r="F89" i="4"/>
  <c r="F88" i="4" s="1"/>
  <c r="F90" i="4" s="1"/>
  <c r="H81" i="4" l="1"/>
  <c r="H73" i="6"/>
  <c r="H79" i="4"/>
  <c r="V80" i="6"/>
  <c r="D112" i="4"/>
  <c r="F81" i="6"/>
  <c r="E109" i="4"/>
  <c r="E82" i="6"/>
  <c r="F93" i="4"/>
  <c r="F92" i="4"/>
  <c r="F94" i="4"/>
  <c r="C83" i="6"/>
  <c r="G87" i="4"/>
  <c r="I73" i="6" l="1"/>
  <c r="I77" i="4"/>
  <c r="I76" i="4"/>
  <c r="G81" i="6"/>
  <c r="J81" i="6" s="1"/>
  <c r="E111" i="4"/>
  <c r="F95" i="4"/>
  <c r="F110" i="4"/>
  <c r="G89" i="4"/>
  <c r="G88" i="4" s="1"/>
  <c r="G90" i="4" s="1"/>
  <c r="S73" i="6" l="1"/>
  <c r="T73" i="6"/>
  <c r="I80" i="4"/>
  <c r="I78" i="4"/>
  <c r="V81" i="6"/>
  <c r="E112" i="4"/>
  <c r="F82" i="6"/>
  <c r="F109" i="4"/>
  <c r="E83" i="6"/>
  <c r="G93" i="4"/>
  <c r="G92" i="4"/>
  <c r="G94" i="4"/>
  <c r="C84" i="6"/>
  <c r="H87" i="4"/>
  <c r="I81" i="4" l="1"/>
  <c r="H74" i="6"/>
  <c r="I79" i="4"/>
  <c r="G82" i="6"/>
  <c r="J82" i="6" s="1"/>
  <c r="F111" i="4"/>
  <c r="G95" i="4"/>
  <c r="G110" i="4"/>
  <c r="H89" i="4"/>
  <c r="H88" i="4" s="1"/>
  <c r="H90" i="4" s="1"/>
  <c r="I74" i="6" l="1"/>
  <c r="J77" i="4"/>
  <c r="J76" i="4" s="1"/>
  <c r="V82" i="6"/>
  <c r="F112" i="4"/>
  <c r="F83" i="6"/>
  <c r="G109" i="4"/>
  <c r="E84" i="6"/>
  <c r="H93" i="4"/>
  <c r="H92" i="4"/>
  <c r="H94" i="4"/>
  <c r="C85" i="6"/>
  <c r="I87" i="4"/>
  <c r="S74" i="6" l="1"/>
  <c r="T74" i="6"/>
  <c r="J80" i="4"/>
  <c r="J78" i="4"/>
  <c r="G83" i="6"/>
  <c r="J83" i="6" s="1"/>
  <c r="G111" i="4"/>
  <c r="H95" i="4"/>
  <c r="H110" i="4"/>
  <c r="I89" i="4"/>
  <c r="I88" i="4" s="1"/>
  <c r="I90" i="4" s="1"/>
  <c r="J81" i="4" l="1"/>
  <c r="H75" i="6"/>
  <c r="J79" i="4"/>
  <c r="V83" i="6"/>
  <c r="G112" i="4"/>
  <c r="F84" i="6"/>
  <c r="H109" i="4"/>
  <c r="E85" i="6"/>
  <c r="I93" i="4"/>
  <c r="I92" i="4"/>
  <c r="I94" i="4"/>
  <c r="C86" i="6"/>
  <c r="J87" i="4"/>
  <c r="I75" i="6" l="1"/>
  <c r="K77" i="4"/>
  <c r="K76" i="4"/>
  <c r="G84" i="6"/>
  <c r="J84" i="6" s="1"/>
  <c r="H111" i="4"/>
  <c r="I95" i="4"/>
  <c r="I110" i="4"/>
  <c r="J89" i="4"/>
  <c r="J88" i="4" s="1"/>
  <c r="J90" i="4" s="1"/>
  <c r="S75" i="6" l="1"/>
  <c r="T75" i="6"/>
  <c r="K80" i="4"/>
  <c r="K78" i="4"/>
  <c r="V84" i="6"/>
  <c r="H112" i="4"/>
  <c r="F85" i="6"/>
  <c r="I109" i="4"/>
  <c r="E86" i="6"/>
  <c r="J93" i="4"/>
  <c r="J92" i="4"/>
  <c r="J94" i="4"/>
  <c r="C87" i="6"/>
  <c r="K87" i="4"/>
  <c r="K81" i="4" l="1"/>
  <c r="H76" i="6"/>
  <c r="K79" i="4"/>
  <c r="G85" i="6"/>
  <c r="J85" i="6" s="1"/>
  <c r="I111" i="4"/>
  <c r="J95" i="4"/>
  <c r="J110" i="4"/>
  <c r="K88" i="4"/>
  <c r="K90" i="4" s="1"/>
  <c r="K89" i="4"/>
  <c r="I76" i="6" l="1"/>
  <c r="L77" i="4"/>
  <c r="L76" i="4"/>
  <c r="V85" i="6"/>
  <c r="I112" i="4"/>
  <c r="F86" i="6"/>
  <c r="J109" i="4"/>
  <c r="E87" i="6"/>
  <c r="K93" i="4"/>
  <c r="K92" i="4"/>
  <c r="K94" i="4"/>
  <c r="C88" i="6"/>
  <c r="L87" i="4"/>
  <c r="S76" i="6" l="1"/>
  <c r="T76" i="6"/>
  <c r="L80" i="4"/>
  <c r="L78" i="4"/>
  <c r="G86" i="6"/>
  <c r="J86" i="6" s="1"/>
  <c r="J111" i="4"/>
  <c r="K95" i="4"/>
  <c r="K110" i="4"/>
  <c r="L88" i="4"/>
  <c r="L90" i="4" s="1"/>
  <c r="L89" i="4"/>
  <c r="L81" i="4" l="1"/>
  <c r="H77" i="6"/>
  <c r="L79" i="4"/>
  <c r="V86" i="6"/>
  <c r="J112" i="4"/>
  <c r="F87" i="6"/>
  <c r="K109" i="4"/>
  <c r="E88" i="6"/>
  <c r="L93" i="4"/>
  <c r="L92" i="4"/>
  <c r="L94" i="4"/>
  <c r="C89" i="6"/>
  <c r="M87" i="4"/>
  <c r="I77" i="6" l="1"/>
  <c r="M77" i="4"/>
  <c r="M76" i="4"/>
  <c r="G87" i="6"/>
  <c r="J87" i="6" s="1"/>
  <c r="K111" i="4"/>
  <c r="L95" i="4"/>
  <c r="L110" i="4"/>
  <c r="M89" i="4"/>
  <c r="M88" i="4" s="1"/>
  <c r="M90" i="4" s="1"/>
  <c r="S77" i="6" l="1"/>
  <c r="T77" i="6"/>
  <c r="M80" i="4"/>
  <c r="M78" i="4"/>
  <c r="V87" i="6"/>
  <c r="K112" i="4"/>
  <c r="F88" i="6"/>
  <c r="L109" i="4"/>
  <c r="E89" i="6"/>
  <c r="M93" i="4"/>
  <c r="M92" i="4"/>
  <c r="M94" i="4"/>
  <c r="C90" i="6"/>
  <c r="N87" i="4"/>
  <c r="M81" i="4" l="1"/>
  <c r="H78" i="6"/>
  <c r="M79" i="4"/>
  <c r="G88" i="6"/>
  <c r="J88" i="6" s="1"/>
  <c r="L111" i="4"/>
  <c r="M95" i="4"/>
  <c r="M110" i="4"/>
  <c r="N89" i="4"/>
  <c r="I78" i="6" l="1"/>
  <c r="N77" i="4"/>
  <c r="V88" i="6"/>
  <c r="L112" i="4"/>
  <c r="F89" i="6"/>
  <c r="M109" i="4"/>
  <c r="E90" i="6"/>
  <c r="O89" i="4"/>
  <c r="N88" i="4"/>
  <c r="S78" i="6" l="1"/>
  <c r="T78" i="6"/>
  <c r="G89" i="6"/>
  <c r="J89" i="6" s="1"/>
  <c r="M111" i="4"/>
  <c r="N93" i="4"/>
  <c r="O93" i="4" s="1"/>
  <c r="G11" i="5" s="1"/>
  <c r="O88" i="4"/>
  <c r="N90" i="4"/>
  <c r="O77" i="4"/>
  <c r="E35" i="5" s="1"/>
  <c r="N76" i="4"/>
  <c r="V89" i="6" l="1"/>
  <c r="M112" i="4"/>
  <c r="F90" i="6"/>
  <c r="C91" i="6"/>
  <c r="N94" i="4"/>
  <c r="N92" i="4"/>
  <c r="O90" i="4"/>
  <c r="G8" i="5"/>
  <c r="E36" i="5"/>
  <c r="F35" i="5"/>
  <c r="N78" i="4"/>
  <c r="N80" i="4"/>
  <c r="O76" i="4"/>
  <c r="D15" i="6" s="1"/>
  <c r="D16" i="6" s="1"/>
  <c r="G90" i="6" l="1"/>
  <c r="J90" i="6" s="1"/>
  <c r="O94" i="4"/>
  <c r="G12" i="5" s="1"/>
  <c r="N110" i="4"/>
  <c r="O110" i="4" s="1"/>
  <c r="G28" i="5" s="1"/>
  <c r="O92" i="4"/>
  <c r="G10" i="5" s="1"/>
  <c r="N95" i="4"/>
  <c r="E17" i="6"/>
  <c r="G7" i="5"/>
  <c r="N49" i="3"/>
  <c r="K53" i="3"/>
  <c r="F10" i="3"/>
  <c r="E41" i="5"/>
  <c r="F36" i="5"/>
  <c r="N79" i="4"/>
  <c r="O78" i="4"/>
  <c r="E44" i="5" s="1"/>
  <c r="N81" i="4"/>
  <c r="O80" i="4"/>
  <c r="H79" i="6"/>
  <c r="V90" i="6" l="1"/>
  <c r="G13" i="5"/>
  <c r="H10" i="5"/>
  <c r="O95" i="4"/>
  <c r="N109" i="4"/>
  <c r="E91" i="6"/>
  <c r="C115" i="4"/>
  <c r="C114" i="4" s="1"/>
  <c r="O79" i="4"/>
  <c r="I79" i="6"/>
  <c r="O81" i="4"/>
  <c r="K54" i="3" s="1"/>
  <c r="E45" i="5"/>
  <c r="E46" i="5" s="1"/>
  <c r="H28" i="5" l="1"/>
  <c r="H12" i="5"/>
  <c r="H11" i="5"/>
  <c r="H25" i="5"/>
  <c r="H15" i="5"/>
  <c r="H16" i="5"/>
  <c r="H34" i="5"/>
  <c r="H33" i="5"/>
  <c r="H17" i="5"/>
  <c r="H18" i="5"/>
  <c r="H19" i="5"/>
  <c r="H23" i="5"/>
  <c r="H24" i="5"/>
  <c r="H21" i="5"/>
  <c r="H20" i="5"/>
  <c r="H22" i="5"/>
  <c r="H13" i="5"/>
  <c r="N50" i="3"/>
  <c r="O109" i="4"/>
  <c r="G27" i="5" s="1"/>
  <c r="N111" i="4"/>
  <c r="C118" i="4"/>
  <c r="C116" i="4"/>
  <c r="S79" i="6"/>
  <c r="T79" i="6"/>
  <c r="G29" i="5" l="1"/>
  <c r="H27" i="5"/>
  <c r="N112" i="4"/>
  <c r="O111" i="4"/>
  <c r="F91" i="6"/>
  <c r="C119" i="4"/>
  <c r="H80" i="6"/>
  <c r="C117" i="4"/>
  <c r="G30" i="5" l="1"/>
  <c r="N51" i="3"/>
  <c r="H29" i="5"/>
  <c r="G91" i="6"/>
  <c r="J91" i="6" s="1"/>
  <c r="V91" i="6" s="1"/>
  <c r="C29" i="6" s="1"/>
  <c r="D29" i="6" s="1"/>
  <c r="O112" i="4"/>
  <c r="I80" i="6"/>
  <c r="D115" i="4"/>
  <c r="D114" i="4"/>
  <c r="N52" i="3" l="1"/>
  <c r="J11" i="3"/>
  <c r="G31" i="5"/>
  <c r="H30" i="5"/>
  <c r="S80" i="6"/>
  <c r="T80" i="6"/>
  <c r="D118" i="4"/>
  <c r="D116" i="4"/>
  <c r="D119" i="4" l="1"/>
  <c r="H81" i="6"/>
  <c r="D117" i="4"/>
  <c r="I81" i="6" l="1"/>
  <c r="E115" i="4"/>
  <c r="E114" i="4" s="1"/>
  <c r="S81" i="6" l="1"/>
  <c r="T81" i="6"/>
  <c r="E118" i="4"/>
  <c r="E116" i="4"/>
  <c r="E119" i="4" l="1"/>
  <c r="H82" i="6"/>
  <c r="E117" i="4"/>
  <c r="I82" i="6" l="1"/>
  <c r="F115" i="4"/>
  <c r="F114" i="4" s="1"/>
  <c r="S82" i="6" l="1"/>
  <c r="T82" i="6"/>
  <c r="F118" i="4"/>
  <c r="F116" i="4"/>
  <c r="F119" i="4" l="1"/>
  <c r="H83" i="6"/>
  <c r="F117" i="4"/>
  <c r="I83" i="6" l="1"/>
  <c r="G115" i="4"/>
  <c r="G114" i="4"/>
  <c r="S83" i="6" l="1"/>
  <c r="T83" i="6"/>
  <c r="G118" i="4"/>
  <c r="G116" i="4"/>
  <c r="G119" i="4" l="1"/>
  <c r="H84" i="6"/>
  <c r="G117" i="4"/>
  <c r="I84" i="6" l="1"/>
  <c r="H115" i="4"/>
  <c r="H114" i="4"/>
  <c r="S84" i="6" l="1"/>
  <c r="T84" i="6"/>
  <c r="H118" i="4"/>
  <c r="H116" i="4"/>
  <c r="H119" i="4" l="1"/>
  <c r="H85" i="6"/>
  <c r="H117" i="4"/>
  <c r="I85" i="6" l="1"/>
  <c r="I115" i="4"/>
  <c r="I114" i="4" s="1"/>
  <c r="S85" i="6" l="1"/>
  <c r="T85" i="6"/>
  <c r="I118" i="4"/>
  <c r="I116" i="4"/>
  <c r="I119" i="4" l="1"/>
  <c r="H86" i="6"/>
  <c r="I117" i="4"/>
  <c r="I86" i="6" l="1"/>
  <c r="J115" i="4"/>
  <c r="J114" i="4" s="1"/>
  <c r="S86" i="6" l="1"/>
  <c r="T86" i="6"/>
  <c r="J118" i="4"/>
  <c r="J116" i="4"/>
  <c r="J119" i="4" l="1"/>
  <c r="H87" i="6"/>
  <c r="J117" i="4"/>
  <c r="I87" i="6" l="1"/>
  <c r="K115" i="4"/>
  <c r="K114" i="4" s="1"/>
  <c r="S87" i="6" l="1"/>
  <c r="T87" i="6"/>
  <c r="K118" i="4"/>
  <c r="K116" i="4"/>
  <c r="K119" i="4" l="1"/>
  <c r="H88" i="6"/>
  <c r="K117" i="4"/>
  <c r="I88" i="6" l="1"/>
  <c r="L115" i="4"/>
  <c r="L114" i="4" s="1"/>
  <c r="S88" i="6" l="1"/>
  <c r="T88" i="6"/>
  <c r="L118" i="4"/>
  <c r="L116" i="4"/>
  <c r="L119" i="4" l="1"/>
  <c r="H89" i="6"/>
  <c r="L117" i="4"/>
  <c r="I89" i="6" l="1"/>
  <c r="M115" i="4"/>
  <c r="M114" i="4"/>
  <c r="T89" i="6" l="1"/>
  <c r="S89" i="6"/>
  <c r="M118" i="4"/>
  <c r="M116" i="4"/>
  <c r="M119" i="4" l="1"/>
  <c r="H90" i="6"/>
  <c r="M117" i="4"/>
  <c r="I90" i="6" l="1"/>
  <c r="N115" i="4"/>
  <c r="O115" i="4" s="1"/>
  <c r="G35" i="5" s="1"/>
  <c r="N114" i="4"/>
  <c r="S90" i="6" l="1"/>
  <c r="T90" i="6"/>
  <c r="H35" i="5"/>
  <c r="G36" i="5"/>
  <c r="O114" i="4"/>
  <c r="E15" i="6" s="1"/>
  <c r="E16" i="6" s="1"/>
  <c r="N118" i="4"/>
  <c r="N116" i="4"/>
  <c r="J10" i="3" l="1"/>
  <c r="N53" i="3"/>
  <c r="G41" i="5"/>
  <c r="H36" i="5"/>
  <c r="N119" i="4"/>
  <c r="O118" i="4"/>
  <c r="H91" i="6"/>
  <c r="N117" i="4"/>
  <c r="O117" i="4" s="1"/>
  <c r="O116" i="4"/>
  <c r="G44" i="5" s="1"/>
  <c r="O119" i="4" l="1"/>
  <c r="N54" i="3" s="1"/>
  <c r="I91" i="6"/>
  <c r="G45" i="5"/>
  <c r="G46" i="5" s="1"/>
  <c r="C21" i="6" l="1"/>
  <c r="S91" i="6"/>
  <c r="T91" i="6"/>
  <c r="N10" i="3" l="1"/>
  <c r="C22" i="6"/>
  <c r="B13" i="3" s="1"/>
  <c r="C24" i="6"/>
  <c r="C26" i="6" s="1"/>
  <c r="B4" i="4" l="1"/>
  <c r="S4" i="4"/>
  <c r="D22" i="6"/>
  <c r="N11" i="3"/>
  <c r="C28" i="6"/>
  <c r="F6" i="3"/>
  <c r="D28" i="6" l="1"/>
  <c r="F7"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GymGym</author>
  </authors>
  <commentList>
    <comment ref="C8" authorId="0" shapeId="0" xr:uid="{00000000-0006-0000-0100-000001000000}">
      <text>
        <r>
          <rPr>
            <sz val="11"/>
            <color theme="1"/>
            <rFont val="Calibri"/>
            <family val="2"/>
            <scheme val="minor"/>
          </rPr>
          <t>El primer mes de la previsión. Pon el día 1 del mes en que abres. Si lo cambias, revisa la curva de altas del bloque 5: septiembre y enero suelen ser los meses fuertes.</t>
        </r>
      </text>
    </comment>
    <comment ref="C9" authorId="0" shapeId="0" xr:uid="{00000000-0006-0000-0100-000002000000}">
      <text>
        <r>
          <rPr>
            <sz val="11"/>
            <color theme="1"/>
            <rFont val="Calibri"/>
            <family val="2"/>
            <scheme val="minor"/>
          </rPr>
          <t>Cambia todo el modelo de golpe. Realista usa tus cifras tal cual; Pesimista y Optimista las multiplican por la tabla de abajo. Prueba siempre el Pesimista: si con él la caja aguanta, tu plan es sólido.</t>
        </r>
      </text>
    </comment>
    <comment ref="B12" authorId="0" shapeId="0" xr:uid="{00000000-0006-0000-0100-000003000000}">
      <text>
        <r>
          <rPr>
            <sz val="11"/>
            <color theme="1"/>
            <rFont val="Calibri"/>
            <family val="2"/>
            <scheme val="minor"/>
          </rPr>
          <t>Cuántas altas consigues respecto a las que has previsto. 85 % = un 15 % menos de altas en cada mes.</t>
        </r>
      </text>
    </comment>
    <comment ref="B13" authorId="0" shapeId="0" xr:uid="{00000000-0006-0000-0100-000004000000}">
      <text>
        <r>
          <rPr>
            <sz val="11"/>
            <color theme="1"/>
            <rFont val="Calibri"/>
            <family val="2"/>
            <scheme val="minor"/>
          </rPr>
          <t>Multiplica la tasa de bajas. 115 % = se va un 15 % más de gente de la prevista.</t>
        </r>
      </text>
    </comment>
    <comment ref="B14" authorId="0" shapeId="0" xr:uid="{00000000-0006-0000-0100-000005000000}">
      <text>
        <r>
          <rPr>
            <sz val="11"/>
            <color theme="1"/>
            <rFont val="Calibri"/>
            <family val="2"/>
            <scheme val="minor"/>
          </rPr>
          <t>Multiplica la cuota media. 95 % = cobras de media un 5 % menos (descuentos, promociones, más socios en planes baratos).</t>
        </r>
      </text>
    </comment>
    <comment ref="C18" authorId="0" shapeId="0" xr:uid="{00000000-0006-0000-0100-000006000000}">
      <text>
        <r>
          <rPr>
            <sz val="11"/>
            <color theme="1"/>
            <rFont val="Calibri"/>
            <family val="2"/>
            <scheme val="minor"/>
          </rPr>
          <t>Metros cuadrados útiles de sala, vestuarios y zonas comunes.</t>
        </r>
      </text>
    </comment>
    <comment ref="C20" authorId="0" shapeId="0" xr:uid="{00000000-0006-0000-0100-000007000000}">
      <text>
        <r>
          <rPr>
            <sz val="11"/>
            <color theme="1"/>
            <rFont val="Calibri"/>
            <family val="2"/>
            <scheme val="minor"/>
          </rPr>
          <t>En locales de negocio la fianza legal es de 2 mensualidades y muchos propietarios piden además un aval o garantía adicional. Orientativo: pon lo que te pidan.</t>
        </r>
      </text>
    </comment>
    <comment ref="C21" authorId="0" shapeId="0" xr:uid="{00000000-0006-0000-0100-000008000000}">
      <text>
        <r>
          <rPr>
            <sz val="11"/>
            <color theme="1"/>
            <rFont val="Calibri"/>
            <family val="2"/>
            <scheme val="minor"/>
          </rPr>
          <t>Suelos técnicos, climatización y ventilación, insonorización, electricidad, pintura, iluminación. Depende mucho del estado del local: pide 2–3 presupuestos.</t>
        </r>
      </text>
    </comment>
    <comment ref="C27" authorId="0" shapeId="0" xr:uid="{00000000-0006-0000-0100-000009000000}">
      <text>
        <r>
          <rPr>
            <sz val="11"/>
            <color theme="1"/>
            <rFont val="Calibri"/>
            <family val="2"/>
            <scheme val="minor"/>
          </rPr>
          <t>Precio orientativo para equipar 400 m² con una mezcla de máquinas nuevas y de segunda mano. Si alquilas o haces renting de las máquinas, pon aquí solo la entrada y suma la cuota en «Otros» de gastos fijos.</t>
        </r>
      </text>
    </comment>
    <comment ref="C31" authorId="0" shapeId="0" xr:uid="{00000000-0006-0000-0100-00000A000000}">
      <text>
        <r>
          <rPr>
            <sz val="11"/>
            <color theme="1"/>
            <rFont val="Calibri"/>
            <family val="2"/>
            <scheme val="minor"/>
          </rPr>
          <t>Es un gasto (no se amortiza): en la cuenta de resultados aparece como «gastos de apertura» del año 1.</t>
        </r>
      </text>
    </comment>
    <comment ref="C32" authorId="0" shapeId="0" xr:uid="{00000000-0006-0000-0100-00000B000000}">
      <text>
        <r>
          <rPr>
            <sz val="11"/>
            <color theme="1"/>
            <rFont val="Calibri"/>
            <family val="2"/>
            <scheme val="minor"/>
          </rPr>
          <t>Incluye aquí el alquiler y los sueldos de los meses de obra si no consigues carencia de alquiler, y cualquier imprevisto.</t>
        </r>
      </text>
    </comment>
    <comment ref="C34" authorId="0" shapeId="0" xr:uid="{00000000-0006-0000-0100-00000C000000}">
      <text>
        <r>
          <rPr>
            <sz val="11"/>
            <color theme="1"/>
            <rFont val="Calibri"/>
            <family val="2"/>
            <scheme val="minor"/>
          </rPr>
          <t>No es un gasto: es el dinero que quieres tener siempre en la cuenta, incluso en el peor mes, para imprevistos. El modelo lo suma a la financiación recomendada.</t>
        </r>
      </text>
    </comment>
    <comment ref="C35" authorId="0" shapeId="0" xr:uid="{00000000-0006-0000-0100-00000D000000}">
      <text>
        <r>
          <rPr>
            <sz val="11"/>
            <color theme="1"/>
            <rFont val="Calibri"/>
            <family val="2"/>
            <scheme val="minor"/>
          </rPr>
          <t>Solo para la cuenta de resultados: reparte el coste de la obra y el equipamiento entre estos años. Orientativo (el equipamiento suele ir más rápido que la obra): pregúntalo a tu asesoría.</t>
        </r>
      </text>
    </comment>
    <comment ref="C38" authorId="0" shapeId="0" xr:uid="{00000000-0006-0000-0100-00000E000000}">
      <text>
        <r>
          <rPr>
            <sz val="11"/>
            <color theme="1"/>
            <rFont val="Calibri"/>
            <family val="2"/>
            <scheme val="minor"/>
          </rPr>
          <t>Solo se usa para enseñarte lo que paga el socio. Todo el modelo trabaja sin IVA, porque el IVA no es ingreso tuyo. Orientativo: confirma el tipo con tu asesoría.</t>
        </r>
      </text>
    </comment>
    <comment ref="C40" authorId="0" shapeId="0" xr:uid="{00000000-0006-0000-0100-00000F000000}">
      <text>
        <r>
          <rPr>
            <sz val="11"/>
            <color theme="1"/>
            <rFont val="Calibri"/>
            <family val="2"/>
            <scheme val="minor"/>
          </rPr>
          <t>Escribe la cuota sin IVA. Si cobras 45 € con IVA, son 37,19 € (45 ÷ 1,21). La columna de al lado te enseña lo que paga el socio.</t>
        </r>
      </text>
    </comment>
    <comment ref="E40" authorId="0" shapeId="0" xr:uid="{00000000-0006-0000-0100-000010000000}">
      <text>
        <r>
          <rPr>
            <sz val="11"/>
            <color theme="1"/>
            <rFont val="Calibri"/>
            <family val="2"/>
            <scheme val="minor"/>
          </rPr>
          <t>Qué parte de tus socios crees que elegirá cada plan. Tiene que sumar 100 %; si no, se reparte en proporción.</t>
        </r>
      </text>
    </comment>
    <comment ref="B43" authorId="0" shapeId="0" xr:uid="{00000000-0006-0000-0100-000011000000}">
      <text>
        <r>
          <rPr>
            <sz val="11"/>
            <color theme="1"/>
            <rFont val="Calibri"/>
            <family val="2"/>
            <scheme val="minor"/>
          </rPr>
          <t>Para planes de pago anual o trimestral, pon el precio equivalente a un mes. El modelo lo cobra mes a mes: si cobras por adelantado, tu caja real será algo mejor.</t>
        </r>
      </text>
    </comment>
    <comment ref="C45" authorId="0" shapeId="0" xr:uid="{00000000-0006-0000-0100-000012000000}">
      <text>
        <r>
          <rPr>
            <sz val="11"/>
            <color theme="1"/>
            <rFont val="Calibri"/>
            <family val="2"/>
            <scheme val="minor"/>
          </rPr>
          <t>Media de las cuotas pesada por el % de socios de cada plan. Es la cuota que usa todo el modelo (multiplicada por el escenario).</t>
        </r>
      </text>
    </comment>
    <comment ref="C47" authorId="0" shapeId="0" xr:uid="{00000000-0006-0000-0100-000013000000}">
      <text>
        <r>
          <rPr>
            <sz val="11"/>
            <color theme="1"/>
            <rFont val="Calibri"/>
            <family val="2"/>
            <scheme val="minor"/>
          </rPr>
          <t>Lo que cobras al apuntarse. Si a veces la regalas (preventa, promociones), pon la media.</t>
        </r>
      </text>
    </comment>
    <comment ref="C48" authorId="0" shapeId="0" xr:uid="{00000000-0006-0000-0100-000014000000}">
      <text>
        <r>
          <rPr>
            <sz val="11"/>
            <color theme="1"/>
            <rFont val="Calibri"/>
            <family val="2"/>
            <scheme val="minor"/>
          </rPr>
          <t>Repartido entre todos los socios. Ejemplo: si 1 de cada 20 socios paga 80 € al mes de entrenamiento personal, son 4 € por socio.</t>
        </r>
      </text>
    </comment>
    <comment ref="C49" authorId="0" shapeId="0" xr:uid="{00000000-0006-0000-0100-000015000000}">
      <text>
        <r>
          <rPr>
            <sz val="11"/>
            <color theme="1"/>
            <rFont val="Calibri"/>
            <family val="2"/>
            <scheme val="minor"/>
          </rPr>
          <t>Ventas de tienda repartidas entre todos los socios. Lo que te cuesta el producto va en «Coste de los extras» (bloque 7).</t>
        </r>
      </text>
    </comment>
    <comment ref="C52" authorId="0" shapeId="0" xr:uid="{00000000-0006-0000-0100-000016000000}">
      <text>
        <r>
          <rPr>
            <sz val="11"/>
            <color theme="1"/>
            <rFont val="Calibri"/>
            <family val="2"/>
            <scheme val="minor"/>
          </rPr>
          <t>Personas que se apuntan antes de abrir. El modelo las suma como altas del mes 1.</t>
        </r>
      </text>
    </comment>
    <comment ref="C54" authorId="0" shapeId="0" xr:uid="{00000000-0006-0000-0100-000017000000}">
      <text>
        <r>
          <rPr>
            <sz val="11"/>
            <color theme="1"/>
            <rFont val="Calibri"/>
            <family val="2"/>
            <scheme val="minor"/>
          </rPr>
          <t>Altas nuevas que esperas cada mes del primer año, sin contar la preventa. Septiembre y enero suelen ser los meses fuertes; julio y agosto, los flojos.</t>
        </r>
      </text>
    </comment>
    <comment ref="D54" authorId="0" shapeId="0" xr:uid="{00000000-0006-0000-0100-000018000000}">
      <text>
        <r>
          <rPr>
            <sz val="11"/>
            <color theme="1"/>
            <rFont val="Calibri"/>
            <family val="2"/>
            <scheme val="minor"/>
          </rPr>
          <t>Cada mes comparado con la media del año (100 % = un mes normal). Los años 2 y 3 repiten esta forma, escalada a su media de altas.</t>
        </r>
      </text>
    </comment>
    <comment ref="C69" authorId="0" shapeId="0" xr:uid="{00000000-0006-0000-0100-000019000000}">
      <text>
        <r>
          <rPr>
            <sz val="11"/>
            <color theme="1"/>
            <rFont val="Calibri"/>
            <family val="2"/>
            <scheme val="minor"/>
          </rPr>
          <t>Media de altas al mes del segundo año. El modelo la reparte con la forma de la temporada del año 1 (más en septiembre y enero, menos en verano).</t>
        </r>
      </text>
    </comment>
    <comment ref="C71" authorId="0" shapeId="0" xr:uid="{00000000-0006-0000-0100-00001A000000}">
      <text>
        <r>
          <rPr>
            <sz val="11"/>
            <color theme="1"/>
            <rFont val="Calibri"/>
            <family val="2"/>
            <scheme val="minor"/>
          </rPr>
          <t>Qué parte de los socios que tienes al empezar el mes se da de baja ese mes. 4 % = de cada 100 socios se van 4 al mes. Orientativo: cámbialo por el tuyo o por el de un centro parecido.</t>
        </r>
      </text>
    </comment>
    <comment ref="C72" authorId="0" shapeId="0" xr:uid="{00000000-0006-0000-0100-00001B000000}">
      <text>
        <r>
          <rPr>
            <sz val="11"/>
            <color theme="1"/>
            <rFont val="Calibri"/>
            <family val="2"/>
            <scheme val="minor"/>
          </rPr>
          <t>Cuántos socios caben sin que la sala se colapse en horas punta. El ejemplo usa unos 2 socios por m² (orientativo). Si lo dejas vacío, no hay límite.</t>
        </r>
      </text>
    </comment>
    <comment ref="C73" authorId="0" shapeId="0" xr:uid="{00000000-0006-0000-0100-00001C000000}">
      <text>
        <r>
          <rPr>
            <sz val="11"/>
            <color theme="1"/>
            <rFont val="Calibri"/>
            <family val="2"/>
            <scheme val="minor"/>
          </rPr>
          <t>Altas al mes del año 3 ÷ tasa de bajas (con el escenario elegido). Si las dos se mantienen, el número de socios tiende a esta cifra.</t>
        </r>
      </text>
    </comment>
    <comment ref="C76" authorId="0" shapeId="0" xr:uid="{00000000-0006-0000-0100-00001D000000}">
      <text>
        <r>
          <rPr>
            <sz val="11"/>
            <color theme="1"/>
            <rFont val="Calibri"/>
            <family val="2"/>
            <scheme val="minor"/>
          </rPr>
          <t>Personas en jornada completa: media jornada = 0,5. Si vas a trabajar tú en el centro, añádete como un puesto más (si eres autónomo, pon en el bruto lo que te vas a pagar más tu cuota de autónomos, y 0 % de Seguridad Social).</t>
        </r>
      </text>
    </comment>
    <comment ref="E76" authorId="0" shapeId="0" xr:uid="{00000000-0006-0000-0100-00001E000000}">
      <text>
        <r>
          <rPr>
            <sz val="11"/>
            <color theme="1"/>
            <rFont val="Calibri"/>
            <family val="2"/>
            <scheme val="minor"/>
          </rPr>
          <t>Orientativo: entre el 31 % y el 33 % del bruto (contingencias comunes, desempleo, formación, FOGASA y accidentes). Confírmalo con tu asesoría.</t>
        </r>
      </text>
    </comment>
    <comment ref="C98" authorId="0" shapeId="0" xr:uid="{00000000-0006-0000-0100-00001F000000}">
      <text>
        <r>
          <rPr>
            <sz val="11"/>
            <color theme="1"/>
            <rFont val="Calibri"/>
            <family val="2"/>
            <scheme val="minor"/>
          </rPr>
          <t>Lo que te cobran el banco y la pasarela por recibos SEPA, tarjeta o Bizum, más las devoluciones. Orientativo: mira las tarifas de tu banco o pasarela.</t>
        </r>
      </text>
    </comment>
    <comment ref="C99" authorId="0" shapeId="0" xr:uid="{00000000-0006-0000-0100-000020000000}">
      <text>
        <r>
          <rPr>
            <sz val="11"/>
            <color theme="1"/>
            <rFont val="Calibri"/>
            <family val="2"/>
            <scheme val="minor"/>
          </rPr>
          <t>Sobre lo que ingresas por entrenamiento personal y tienda: la comisión que se lleva el entrenador y lo que te cuesta el producto.</t>
        </r>
      </text>
    </comment>
    <comment ref="C102" authorId="0" shapeId="0" xr:uid="{00000000-0006-0000-0100-000021000000}">
      <text>
        <r>
          <rPr>
            <sz val="11"/>
            <color theme="1"/>
            <rFont val="Calibri"/>
            <family val="2"/>
            <scheme val="minor"/>
          </rPr>
          <t>Tus ahorros y lo que pongan tus socios. Los bancos suelen pedir que el promotor ponga una parte de la inversión.</t>
        </r>
      </text>
    </comment>
    <comment ref="C104" authorId="0" shapeId="0" xr:uid="{00000000-0006-0000-0100-000022000000}">
      <text>
        <r>
          <rPr>
            <sz val="11"/>
            <color theme="1"/>
            <rFont val="Calibri"/>
            <family val="2"/>
            <scheme val="minor"/>
          </rPr>
          <t>Tipo de interés nominal anual (TIN). Orientativo: pide oferta a 2 o 3 bancos y pon la real.</t>
        </r>
      </text>
    </comment>
    <comment ref="C106" authorId="0" shapeId="0" xr:uid="{00000000-0006-0000-0100-000023000000}">
      <text>
        <r>
          <rPr>
            <sz val="11"/>
            <color theme="1"/>
            <rFont val="Calibri"/>
            <family val="2"/>
            <scheme val="minor"/>
          </rPr>
          <t>Meses del principio en los que solo pagas intereses. Ayuda mucho a la caja mientras el centro arranca. Cuentan dentro del plazo.</t>
        </r>
      </text>
    </comment>
    <comment ref="C108" authorId="0" shapeId="0" xr:uid="{00000000-0006-0000-0100-000024000000}">
      <text>
        <r>
          <rPr>
            <sz val="11"/>
            <color theme="1"/>
            <rFont val="Calibri"/>
            <family val="2"/>
            <scheme val="minor"/>
          </rPr>
          <t>Cuota fija (sistema francés) para devolver el préstamo en los meses que quedan después de la carencia. Fórmula: PAGO(interés/12; meses; −préstamo).</t>
        </r>
      </text>
    </comment>
    <comment ref="C109" authorId="0" shapeId="0" xr:uid="{00000000-0006-0000-0100-000025000000}">
      <text>
        <r>
          <rPr>
            <sz val="11"/>
            <color theme="1"/>
            <rFont val="Calibri"/>
            <family val="2"/>
            <scheme val="minor"/>
          </rPr>
          <t>Aportación + préstamo − inversión inicial. Es la caja con la que empieza la previsión.</t>
        </r>
      </text>
    </comment>
    <comment ref="C112" authorId="0" shapeId="0" xr:uid="{00000000-0006-0000-0100-000026000000}">
      <text>
        <r>
          <rPr>
            <sz val="11"/>
            <color theme="1"/>
            <rFont val="Calibri"/>
            <family val="2"/>
            <scheme val="minor"/>
          </rPr>
          <t>Lo que subes las cuotas, la matrícula y los extras cada año. Se aplica en el mes 13 y en el mes 25.</t>
        </r>
      </text>
    </comment>
    <comment ref="C113" authorId="0" shapeId="0" xr:uid="{00000000-0006-0000-0100-000027000000}">
      <text>
        <r>
          <rPr>
            <sz val="11"/>
            <color theme="1"/>
            <rFont val="Calibri"/>
            <family val="2"/>
            <scheme val="minor"/>
          </rPr>
          <t>IPC, revisión del alquiler, subida del convenio. Orientativo: se aplica a todos los gastos fijos en el mes 13 y en el mes 25.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GymGym</author>
  </authors>
  <commentList>
    <comment ref="O8" authorId="0" shapeId="0" xr:uid="{00000000-0006-0000-0300-000001000000}">
      <text>
        <r>
          <rPr>
            <sz val="11"/>
            <color theme="1"/>
            <rFont val="Calibri"/>
            <family val="2"/>
            <scheme val="minor"/>
          </rPr>
          <t>Suma del año. En «socios al inicio» es el dato del primer mes; en «socios a fin de mes», «préstamo pendiente» y «caja acumulada», el de final de año.</t>
        </r>
      </text>
    </comment>
    <comment ref="O46" authorId="0" shapeId="0" xr:uid="{00000000-0006-0000-0300-000002000000}">
      <text>
        <r>
          <rPr>
            <sz val="11"/>
            <color theme="1"/>
            <rFont val="Calibri"/>
            <family val="2"/>
            <scheme val="minor"/>
          </rPr>
          <t>Suma del año. En «socios al inicio» es el dato del primer mes; en «socios a fin de mes», «préstamo pendiente» y «caja acumulada», el de final de año.</t>
        </r>
      </text>
    </comment>
    <comment ref="O84" authorId="0" shapeId="0" xr:uid="{00000000-0006-0000-0300-000003000000}">
      <text>
        <r>
          <rPr>
            <sz val="11"/>
            <color theme="1"/>
            <rFont val="Calibri"/>
            <family val="2"/>
            <scheme val="minor"/>
          </rPr>
          <t>Suma del año. En «socios al inicio» es el dato del primer mes; en «socios a fin de mes», «préstamo pendiente» y «caja acumulada», el de final de año.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GymGym</author>
  </authors>
  <commentList>
    <comment ref="D5" authorId="0" shapeId="0" xr:uid="{00000000-0006-0000-0400-000001000000}">
      <text>
        <r>
          <rPr>
            <sz val="11"/>
            <color theme="1"/>
            <rFont val="Calibri"/>
            <family val="2"/>
            <scheme val="minor"/>
          </rPr>
          <t>Cada línea como porcentaje del total de ingresos de ese año.</t>
        </r>
      </text>
    </comment>
    <comment ref="B33" authorId="0" shapeId="0" xr:uid="{00000000-0006-0000-0400-000002000000}">
      <text>
        <r>
          <rPr>
            <sz val="11"/>
            <color theme="1"/>
            <rFont val="Calibri"/>
            <family val="2"/>
            <scheme val="minor"/>
          </rPr>
          <t>El marketing de lanzamiento es un gasto, no una inversión: se resta entero en el año 1 aunque lo pagaras antes de abrir.</t>
        </r>
      </text>
    </comment>
    <comment ref="B34" authorId="0" shapeId="0" xr:uid="{00000000-0006-0000-0400-000003000000}">
      <text>
        <r>
          <rPr>
            <sz val="11"/>
            <color theme="1"/>
            <rFont val="Calibri"/>
            <family val="2"/>
            <scheme val="minor"/>
          </rPr>
          <t>El coste de la obra, el equipamiento y el resto de la inversión (menos la fianza y el marketing de lanzamiento) repartido entre los años del bloque 3 de «Supuestos». No sale de la caja cada año: ya lo pagaste al principio.</t>
        </r>
      </text>
    </comment>
    <comment ref="B35" authorId="0" shapeId="0" xr:uid="{00000000-0006-0000-0400-000004000000}">
      <text>
        <r>
          <rPr>
            <sz val="11"/>
            <color theme="1"/>
            <rFont val="Calibri"/>
            <family val="2"/>
            <scheme val="minor"/>
          </rPr>
          <t>Solo los intereses son gasto. La parte de la cuota que devuelve el préstamo (capital) sale de la caja pero no resta en la cuenta de resultados: la ves abajo, en «De la cuenta a la caja».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GymGym</author>
  </authors>
  <commentList>
    <comment ref="B14" authorId="0" shapeId="0" xr:uid="{00000000-0006-0000-0500-000001000000}">
      <text>
        <r>
          <rPr>
            <sz val="11"/>
            <color theme="1"/>
            <rFont val="Calibri"/>
            <family val="2"/>
            <scheme val="minor"/>
          </rPr>
          <t>Gastos fijos al mes ÷ margen por socio, redondeado hacia arriba. El margen es lo que te queda de cada socio después de comisiones y del coste de los extras.</t>
        </r>
      </text>
    </comment>
    <comment ref="B24" authorId="0" shapeId="0" xr:uid="{00000000-0006-0000-0500-000002000000}">
      <text>
        <r>
          <rPr>
            <sz val="11"/>
            <color theme="1"/>
            <rFont val="Calibri"/>
            <family val="2"/>
            <scheme val="minor"/>
          </rPr>
          <t>Aportación + préstamo − caja mínima. Si consigues el dinero que falta con más préstamo, la cuota sube un poco: vuelve a mirar la caja mínima después.</t>
        </r>
      </text>
    </comment>
    <comment ref="B29" authorId="0" shapeId="0" xr:uid="{00000000-0006-0000-0500-000003000000}">
      <text>
        <r>
          <rPr>
            <sz val="11"/>
            <color theme="1"/>
            <rFont val="Calibri"/>
            <family val="2"/>
            <scheme val="minor"/>
          </rPr>
          <t>Meses hasta que el resultado operativo (EBITDA) acumulado iguala la inversión inicial. Antes de impuestos y sin contar el préstamo. Si no llega en 36 meses, se estima al ritmo del último mes.</t>
        </r>
      </text>
    </comment>
  </commentList>
</comments>
</file>

<file path=xl/sharedStrings.xml><?xml version="1.0" encoding="utf-8"?>
<sst xmlns="http://schemas.openxmlformats.org/spreadsheetml/2006/main" count="551" uniqueCount="348">
  <si>
    <t>Plan de viabilidad para abrir un gimnasio</t>
  </si>
  <si>
    <t>El Excel que te conviene hacer antes de firmar el alquiler o pedir el préstamo: cuánto dinero necesitas, cuántos socios, cuándo llegas al equilibrio, cuánto baja la caja y qué pasa si va peor de lo previsto.</t>
  </si>
  <si>
    <t>Lo que te responde</t>
  </si>
  <si>
    <t>Pregunta</t>
  </si>
  <si>
    <t>Dónde lo ves</t>
  </si>
  <si>
    <t>¿Cuánto dinero necesito de verdad?</t>
  </si>
  <si>
    <t>Resumen</t>
  </si>
  <si>
    <t>¿Cuántos socios necesito para cubrir gastos?</t>
  </si>
  <si>
    <t>Punto de equilibrio</t>
  </si>
  <si>
    <t>¿En qué mes dejo de perder dinero?</t>
  </si>
  <si>
    <t>¿Cuánto baja la caja en el peor mes?</t>
  </si>
  <si>
    <t>Previsión 36 meses</t>
  </si>
  <si>
    <t>¿Y si va peor de lo que pienso?</t>
  </si>
  <si>
    <t>Escenario pesimista y tabla de sensibilidad</t>
  </si>
  <si>
    <t>Cómo usarlo</t>
  </si>
  <si>
    <t>Rellena tu local y tu inversión</t>
  </si>
  <si>
    <t>En «Supuestos», bloques 1 a 3: metros, alquiler, obra, equipamiento, licencias y el colchón que quieres tener siempre.</t>
  </si>
  <si>
    <t>Pon tus precios y cuántos socios esperas</t>
  </si>
  <si>
    <t>Bloques 4 y 5: tus planes con su cuota sin IVA, la preventa, las altas de cada mes del primer año y la tasa de bajas.</t>
  </si>
  <si>
    <t>Escribe tus gastos y tu financiación</t>
  </si>
  <si>
    <t>Bloques 6 a 9: personal, alquiler y demás gastos fijos, comisiones, préstamo (con su carencia) y subidas anuales.</t>
  </si>
  <si>
    <t>Mira el Resumen</t>
  </si>
  <si>
    <t>Los 8 números clave, tres gráficos y una frase que te dice si el plan se sostiene. Es la hoja que imprimes para el banco o tu socio.</t>
  </si>
  <si>
    <t>Prueba el escenario pesimista</t>
  </si>
  <si>
    <t>Cambia el desplegable «Escenario» en «Supuestos». Si con menos altas, más bajas y una cuota más baja la caja aguanta, tu plan es sólido.</t>
  </si>
  <si>
    <t>Cómo leer los colores</t>
  </si>
  <si>
    <t>Verde agua: las rellenas tú (solo en «Supuestos»).</t>
  </si>
  <si>
    <t>Pestaña verde agua: donde rellenas</t>
  </si>
  <si>
    <t>Blancas: se calculan solas; mejor no tocarlas.</t>
  </si>
  <si>
    <t>Violeta: el resumen para imprimir</t>
  </si>
  <si>
    <t>Coral: números en negativo o meses a vigilar.</t>
  </si>
  <si>
    <t>Azul: el cálculo, mes a mes y por años</t>
  </si>
  <si>
    <t>Oscura: esta guía</t>
  </si>
  <si>
    <t>Los datos de ejemplo</t>
  </si>
  <si>
    <t>Viene relleno con un «Centro de ejemplo»: un gimnasio de 400 m² en una ciudad mediana, con valores orientativos para que veas el modelo funcionando. No son datos de mercado: cámbialos por los tuyos.</t>
  </si>
  <si>
    <t>Para usar tus cifras, escribe encima de las celdas verde agua: no hace falta borrar nada. Si prefieres empezar de cero, selecciona las celdas verde agua de «Supuestos» y pulsa Suprimir: el modelo no se rompe, solo verás ceros hasta que lo rellenes.</t>
  </si>
  <si>
    <t>Ten en cuenta</t>
  </si>
  <si>
    <t>•</t>
  </si>
  <si>
    <t>Todo va sin IVA: el IVA que cobras no es ingreso tuyo.</t>
  </si>
  <si>
    <t>Los resultados son antes de impuestos: pide a tu asesoría el tipo que te toca.</t>
  </si>
  <si>
    <t>Es una previsión orientativa: no sustituye el análisis de tu asesoría ni el de tu banco.</t>
  </si>
  <si>
    <t>Funciona en Excel, Google Sheets (Archivo › Importar), LibreOffice y Numbers.</t>
  </si>
  <si>
    <t>Más plantillas y calculadoras gratis en gymgym.es/recursos</t>
  </si>
  <si>
    <t>Supuestos</t>
  </si>
  <si>
    <t>Todo lo que rellenas está aquí, en las celdas verde agua. Importes sin IVA. Los valores de ejemplo son orientativos: cámbialos por los tuyos.</t>
  </si>
  <si>
    <t>Leyenda</t>
  </si>
  <si>
    <t>Rellenas tú</t>
  </si>
  <si>
    <t>Se calcula solo</t>
  </si>
  <si>
    <r>
      <rPr>
        <b/>
        <sz val="12"/>
        <color rgb="FF076B69"/>
        <rFont val="Arial"/>
        <family val="2"/>
      </rPr>
      <t xml:space="preserve">1   </t>
    </r>
    <r>
      <rPr>
        <b/>
        <sz val="12"/>
        <color rgb="FF0B1220"/>
        <rFont val="Arial"/>
        <family val="2"/>
      </rPr>
      <t>Proyecto y escenario</t>
    </r>
  </si>
  <si>
    <t>Nombre del proyecto</t>
  </si>
  <si>
    <t>Centro de ejemplo</t>
  </si>
  <si>
    <t>Aparece en el «Resumen» que imprimes.</t>
  </si>
  <si>
    <t>Mes de apertura</t>
  </si>
  <si>
    <t>Escenario</t>
  </si>
  <si>
    <t>Realista</t>
  </si>
  <si>
    <t>Desplegable: Pesimista, Realista u Optimista.</t>
  </si>
  <si>
    <t>Multiplicador de cada escenario</t>
  </si>
  <si>
    <t>Pesimista</t>
  </si>
  <si>
    <t>Optimista</t>
  </si>
  <si>
    <t>En uso</t>
  </si>
  <si>
    <t>Altas (captación)</t>
  </si>
  <si>
    <t>Bajas (tasa de bajas)</t>
  </si>
  <si>
    <t>Cuota media</t>
  </si>
  <si>
    <t>En uso = la columna del escenario elegido. Si dejas el escenario vacío, se usa 100 %.</t>
  </si>
  <si>
    <r>
      <rPr>
        <b/>
        <sz val="12"/>
        <color rgb="FF076B69"/>
        <rFont val="Arial"/>
        <family val="2"/>
      </rPr>
      <t xml:space="preserve">2   </t>
    </r>
    <r>
      <rPr>
        <b/>
        <sz val="12"/>
        <color rgb="FF0B1220"/>
        <rFont val="Arial"/>
        <family val="2"/>
      </rPr>
      <t>Local</t>
    </r>
  </si>
  <si>
    <t>Superficie útil</t>
  </si>
  <si>
    <t>Alquiler al mes (sin IVA)</t>
  </si>
  <si>
    <t>Fianza y garantías</t>
  </si>
  <si>
    <t>Meses de alquiler que dejas como fianza o garantía. La recuperas al dejar el local.</t>
  </si>
  <si>
    <t>Obra y acondicionamiento por m²</t>
  </si>
  <si>
    <t>Orientativo: depende mucho de cómo esté el local. Pide 2–3 presupuestos.</t>
  </si>
  <si>
    <r>
      <rPr>
        <b/>
        <sz val="12"/>
        <color rgb="FF076B69"/>
        <rFont val="Arial"/>
        <family val="2"/>
      </rPr>
      <t xml:space="preserve">3   </t>
    </r>
    <r>
      <rPr>
        <b/>
        <sz val="12"/>
        <color rgb="FF0B1220"/>
        <rFont val="Arial"/>
        <family val="2"/>
      </rPr>
      <t>Inversión inicial (antes de abrir)</t>
    </r>
  </si>
  <si>
    <t>Partida</t>
  </si>
  <si>
    <t>Importe</t>
  </si>
  <si>
    <t>Qué incluye</t>
  </si>
  <si>
    <t>Fianza del local</t>
  </si>
  <si>
    <t>Alquiler × meses de fianza.</t>
  </si>
  <si>
    <t>Obra y acondicionamiento</t>
  </si>
  <si>
    <t>m² × € por m² del bloque 2.</t>
  </si>
  <si>
    <t>Equipamiento</t>
  </si>
  <si>
    <t>Cardio, fuerza, peso libre y material de clases.</t>
  </si>
  <si>
    <t>Proyecto, licencia de actividad y tasas</t>
  </si>
  <si>
    <t>Proyecto técnico, licencia de actividad, tasas municipales.</t>
  </si>
  <si>
    <t>Mobiliario y vestuarios</t>
  </si>
  <si>
    <t>Taquillas, bancos, duchas, recepción.</t>
  </si>
  <si>
    <t>Tecnología</t>
  </si>
  <si>
    <t>Control de accesos, ordenador, sonido, cámaras.</t>
  </si>
  <si>
    <t>Marketing de lanzamiento y preventa</t>
  </si>
  <si>
    <t>Campaña de apertura, cartelería, puertas abiertas.</t>
  </si>
  <si>
    <t>Otros e imprevistos</t>
  </si>
  <si>
    <t>Un margen del 5–10 % es prudente.</t>
  </si>
  <si>
    <t>Inversión inicial total</t>
  </si>
  <si>
    <t>Colchón de seguridad</t>
  </si>
  <si>
    <t>No se gasta: lo mínimo que quieres tener siempre en la cuenta.</t>
  </si>
  <si>
    <t>Años para amortizar la inversión</t>
  </si>
  <si>
    <t>Para la cuenta de resultados. Pregúntalo a tu asesoría.</t>
  </si>
  <si>
    <r>
      <rPr>
        <b/>
        <sz val="12"/>
        <color rgb="FF076B69"/>
        <rFont val="Arial"/>
        <family val="2"/>
      </rPr>
      <t xml:space="preserve">4   </t>
    </r>
    <r>
      <rPr>
        <b/>
        <sz val="12"/>
        <color rgb="FF0B1220"/>
        <rFont val="Arial"/>
        <family val="2"/>
      </rPr>
      <t>Precios y planes (sin IVA)</t>
    </r>
  </si>
  <si>
    <t>IVA de las cuotas</t>
  </si>
  <si>
    <t>Solo para mostrarte el precio al socio. El modelo va sin IVA.</t>
  </si>
  <si>
    <t>Plan</t>
  </si>
  <si>
    <t>Cuota al mes sin IVA</t>
  </si>
  <si>
    <t>El socio paga (con IVA)</t>
  </si>
  <si>
    <t>% de socios</t>
  </si>
  <si>
    <t>Libre acceso</t>
  </si>
  <si>
    <t>Mañanas (hasta las 15:00)</t>
  </si>
  <si>
    <t>Anual (precio por mes)</t>
  </si>
  <si>
    <t>Premium (libre + clases en grupo reducido)</t>
  </si>
  <si>
    <t>Cuota media ponderada</t>
  </si>
  <si>
    <t>Matrícula por alta (sin IVA)</t>
  </si>
  <si>
    <t>Si a veces la regalas, pon la media.</t>
  </si>
  <si>
    <t>Entrenamiento personal: ingreso medio por socio y mes</t>
  </si>
  <si>
    <t>Ejemplo: 1 de cada 20 socios paga 80 € al mes = 4 € por socio.</t>
  </si>
  <si>
    <t>Tienda, bebidas y suplementos: por socio y mes</t>
  </si>
  <si>
    <t>Lo que vendes, repartido entre todos los socios.</t>
  </si>
  <si>
    <r>
      <rPr>
        <b/>
        <sz val="12"/>
        <color rgb="FF076B69"/>
        <rFont val="Arial"/>
        <family val="2"/>
      </rPr>
      <t xml:space="preserve">5   </t>
    </r>
    <r>
      <rPr>
        <b/>
        <sz val="12"/>
        <color rgb="FF0B1220"/>
        <rFont val="Arial"/>
        <family val="2"/>
      </rPr>
      <t>Captación y bajas</t>
    </r>
  </si>
  <si>
    <t>Socios en preventa</t>
  </si>
  <si>
    <t>Se apuntan antes de abrir y cuentan como altas del mes 1.</t>
  </si>
  <si>
    <t>Altas del primer año, mes a mes</t>
  </si>
  <si>
    <t>Altas</t>
  </si>
  <si>
    <t>Forma de la temporada</t>
  </si>
  <si>
    <t>Cómo leerlo</t>
  </si>
  <si>
    <t>Escribe las altas que esperas cada mes, sin la preventa.
El primer mes suele ser fuerte por la apertura. Septiembre y enero son los picos del año; el verano, el valle.
Si cambias el mes de apertura, las etiquetas se mueven solas: revisa los números.</t>
  </si>
  <si>
    <t>La forma de la temporada compara cada mes con la media del año: 200 % es el doble de un mes normal.
Los años 2 y 3 usan esta misma forma con las medias que escribes debajo.</t>
  </si>
  <si>
    <t>Total del primer año (sin preventa)</t>
  </si>
  <si>
    <t>Altas al mes en el año 2 (media)</t>
  </si>
  <si>
    <t>Se reparten con la forma de la temporada del año 1.</t>
  </si>
  <si>
    <t>Altas al mes en el año 3 (media)</t>
  </si>
  <si>
    <t>Suele bajar un poco cuando pasa el efecto de la apertura.</t>
  </si>
  <si>
    <t>Tasa de bajas mensual (churn)</t>
  </si>
  <si>
    <t>4 % = de cada 100 socios se van 4 cada mes.</t>
  </si>
  <si>
    <t>Aforo máximo de socios</t>
  </si>
  <si>
    <t>El modelo no pasa de aquí. Vacío = sin límite.</t>
  </si>
  <si>
    <t>Socios en los que se estabiliza el centro</t>
  </si>
  <si>
    <r>
      <rPr>
        <b/>
        <sz val="12"/>
        <color rgb="FF076B69"/>
        <rFont val="Arial"/>
        <family val="2"/>
      </rPr>
      <t xml:space="preserve">6   </t>
    </r>
    <r>
      <rPr>
        <b/>
        <sz val="12"/>
        <color rgb="FF0B1220"/>
        <rFont val="Arial"/>
        <family val="2"/>
      </rPr>
      <t>Gastos fijos al mes (año 1, sin IVA)</t>
    </r>
  </si>
  <si>
    <t>Personal: puesto</t>
  </si>
  <si>
    <t>Personas</t>
  </si>
  <si>
    <t>Bruto anual por persona</t>
  </si>
  <si>
    <t>% Seg. Social empresa</t>
  </si>
  <si>
    <t>Coste anual</t>
  </si>
  <si>
    <t>Coste al mes</t>
  </si>
  <si>
    <t>Encargado/a de sala y ventas</t>
  </si>
  <si>
    <t>Monitor/a de sala</t>
  </si>
  <si>
    <t>Instructor/a de clases colectivas</t>
  </si>
  <si>
    <t>Recepción</t>
  </si>
  <si>
    <t>Total personal</t>
  </si>
  <si>
    <t>Otros gastos fijos</t>
  </si>
  <si>
    <t>Al mes</t>
  </si>
  <si>
    <t>Alquiler</t>
  </si>
  <si>
    <t>Viene del bloque 2.</t>
  </si>
  <si>
    <t>Suministros (luz, agua, gas)</t>
  </si>
  <si>
    <t>La luz es la partida grande: climatización y máquinas.</t>
  </si>
  <si>
    <t>Software de gestión y apps</t>
  </si>
  <si>
    <t>Gestión de socios, cobros, reservas y accesos.</t>
  </si>
  <si>
    <t>Seguros</t>
  </si>
  <si>
    <t>Responsabilidad civil, local y contenido.</t>
  </si>
  <si>
    <t>Mantenimiento</t>
  </si>
  <si>
    <t>Revisiones de máquinas, climatización, reparaciones.</t>
  </si>
  <si>
    <t>Limpieza</t>
  </si>
  <si>
    <t>Empresa externa o personal propio.</t>
  </si>
  <si>
    <t>Asesoría</t>
  </si>
  <si>
    <t>Laboral, fiscal y contable.</t>
  </si>
  <si>
    <t>Marketing recurrente</t>
  </si>
  <si>
    <t>Anuncios, redes, promociones de captación.</t>
  </si>
  <si>
    <t>Otros</t>
  </si>
  <si>
    <t>Música con licencia, teléfono, material, comunidad.</t>
  </si>
  <si>
    <t>Total gastos fijos al mes (con personal)</t>
  </si>
  <si>
    <r>
      <rPr>
        <b/>
        <sz val="12"/>
        <color rgb="FF076B69"/>
        <rFont val="Arial"/>
        <family val="2"/>
      </rPr>
      <t xml:space="preserve">7   </t>
    </r>
    <r>
      <rPr>
        <b/>
        <sz val="12"/>
        <color rgb="FF0B1220"/>
        <rFont val="Arial"/>
        <family val="2"/>
      </rPr>
      <t>Gastos variables</t>
    </r>
  </si>
  <si>
    <t>Comisiones de cobro (% de los ingresos)</t>
  </si>
  <si>
    <t>Recibos SEPA, tarjeta, Bizum. Mira las tarifas de tu banco.</t>
  </si>
  <si>
    <t>Coste de los extras (% de lo que ingresas por ellos)</t>
  </si>
  <si>
    <t>Comisión del entrenador personal y coste del producto de la tienda.</t>
  </si>
  <si>
    <r>
      <rPr>
        <b/>
        <sz val="12"/>
        <color rgb="FF076B69"/>
        <rFont val="Arial"/>
        <family val="2"/>
      </rPr>
      <t xml:space="preserve">8   </t>
    </r>
    <r>
      <rPr>
        <b/>
        <sz val="12"/>
        <color rgb="FF0B1220"/>
        <rFont val="Arial"/>
        <family val="2"/>
      </rPr>
      <t>Financiación</t>
    </r>
  </si>
  <si>
    <t>Aportación propia</t>
  </si>
  <si>
    <t>Tus ahorros y lo que pongan tus socios.</t>
  </si>
  <si>
    <t>Préstamo</t>
  </si>
  <si>
    <t>Lo que pides al banco (o a ENISA, una línea ICO…).</t>
  </si>
  <si>
    <t>Interés anual del préstamo</t>
  </si>
  <si>
    <t>TIN orientativo: pide oferta a 2 o 3 bancos.</t>
  </si>
  <si>
    <t>Plazo del préstamo</t>
  </si>
  <si>
    <t>Incluye la carencia.</t>
  </si>
  <si>
    <t>Carencia</t>
  </si>
  <si>
    <t>Meses del principio en los que solo pagas intereses.</t>
  </si>
  <si>
    <t>Cuota al mes durante la carencia</t>
  </si>
  <si>
    <t>Cuota al mes después de la carencia</t>
  </si>
  <si>
    <t>Caja el día que abres</t>
  </si>
  <si>
    <r>
      <rPr>
        <b/>
        <sz val="12"/>
        <color rgb="FF076B69"/>
        <rFont val="Arial"/>
        <family val="2"/>
      </rPr>
      <t xml:space="preserve">9   </t>
    </r>
    <r>
      <rPr>
        <b/>
        <sz val="12"/>
        <color rgb="FF0B1220"/>
        <rFont val="Arial"/>
        <family val="2"/>
      </rPr>
      <t>Subidas anuales (a partir del año 2)</t>
    </r>
  </si>
  <si>
    <t>Subida anual de cuotas y extras</t>
  </si>
  <si>
    <t>Se aplica en el mes 13 y en el 25.</t>
  </si>
  <si>
    <t>Subida anual de gastos fijos</t>
  </si>
  <si>
    <t>IPC, revisión del alquiler, convenio.</t>
  </si>
  <si>
    <t>INVERSIÓN INICIAL</t>
  </si>
  <si>
    <t>FINANCIACIÓN NECESARIA</t>
  </si>
  <si>
    <t>SOCIOS PARA CUBRIR GASTOS</t>
  </si>
  <si>
    <t>CUBRES GASTOS EN</t>
  </si>
  <si>
    <t>RESULTADO AÑO 1</t>
  </si>
  <si>
    <t>RESULTADO AÑO 2</t>
  </si>
  <si>
    <t>RESULTADO AÑO 3</t>
  </si>
  <si>
    <t>CAJA MÍNIMA</t>
  </si>
  <si>
    <t>Socios a 36 meses</t>
  </si>
  <si>
    <t>Socios a fin de mes frente a los que necesitas para cubrir gastos</t>
  </si>
  <si>
    <t>Ingresos y gastos al mes</t>
  </si>
  <si>
    <t>Caja acumulada</t>
  </si>
  <si>
    <t>Los tres años de un vistazo</t>
  </si>
  <si>
    <t>Sin IVA</t>
  </si>
  <si>
    <t>Año 1</t>
  </si>
  <si>
    <t>Año 2</t>
  </si>
  <si>
    <t>Año 3</t>
  </si>
  <si>
    <t>Socios a final de año</t>
  </si>
  <si>
    <t>Ingresos</t>
  </si>
  <si>
    <t>Gastos (fijos + variables)</t>
  </si>
  <si>
    <t>Resultado operativo (EBITDA)</t>
  </si>
  <si>
    <t>Resultado antes de impuestos</t>
  </si>
  <si>
    <t>Caja a final de año</t>
  </si>
  <si>
    <t>Previsión a 36 meses</t>
  </si>
  <si>
    <t>Mes a mes y sin IVA. Todo se calcula con los «Supuestos»: aquí no hay nada que rellenar.</t>
  </si>
  <si>
    <t>Aux.: mes equilibrio</t>
  </si>
  <si>
    <t>Aux.: mes caja mín.</t>
  </si>
  <si>
    <t>Concepto</t>
  </si>
  <si>
    <t>Total año 1</t>
  </si>
  <si>
    <t>Mes nº</t>
  </si>
  <si>
    <t>SOCIOS</t>
  </si>
  <si>
    <t>Socios al inicio del mes</t>
  </si>
  <si>
    <t>+ Altas</t>
  </si>
  <si>
    <t>− Bajas</t>
  </si>
  <si>
    <t>Socios a fin de mes</t>
  </si>
  <si>
    <t>INGRESOS (SIN IVA)</t>
  </si>
  <si>
    <t>Cuotas</t>
  </si>
  <si>
    <t>Matrículas</t>
  </si>
  <si>
    <t>Entrenamiento personal y tienda</t>
  </si>
  <si>
    <t>Total ingresos</t>
  </si>
  <si>
    <t>GASTOS FIJOS</t>
  </si>
  <si>
    <t>Personal</t>
  </si>
  <si>
    <t>Suministros</t>
  </si>
  <si>
    <t>Software</t>
  </si>
  <si>
    <t>Total gastos fijos</t>
  </si>
  <si>
    <t>GASTOS VARIABLES</t>
  </si>
  <si>
    <t>Comisiones de cobro</t>
  </si>
  <si>
    <t>Coste de los extras</t>
  </si>
  <si>
    <t>Total gastos variables</t>
  </si>
  <si>
    <t>PRÉSTAMO Y CAJA</t>
  </si>
  <si>
    <t>Cuota del préstamo</t>
  </si>
  <si>
    <t xml:space="preserve">   de la que intereses</t>
  </si>
  <si>
    <t xml:space="preserve">   de la que capital</t>
  </si>
  <si>
    <t>Préstamo pendiente</t>
  </si>
  <si>
    <t>Flujo de caja del mes</t>
  </si>
  <si>
    <t>Total año 2</t>
  </si>
  <si>
    <t>Total año 3</t>
  </si>
  <si>
    <t>Cuenta de resultados</t>
  </si>
  <si>
    <t>Los tres primeros años, uno al lado de otro. Antes de impuestos y sin IVA.</t>
  </si>
  <si>
    <t>% ingr.</t>
  </si>
  <si>
    <t>Periodo</t>
  </si>
  <si>
    <t>Socios de media</t>
  </si>
  <si>
    <t>INGRESOS</t>
  </si>
  <si>
    <t>Margen operativo (EBITDA ÷ ingresos)</t>
  </si>
  <si>
    <t>− Gastos de apertura (marketing de lanzamiento)</t>
  </si>
  <si>
    <t>− Amortización de la inversión</t>
  </si>
  <si>
    <t>− Intereses del préstamo</t>
  </si>
  <si>
    <t>Antes de impuestos. Lo que pagues depende de cómo te constituyas (sociedad limitada o autónomo) y de tu situación: pide el tipo a tu asesoría y réstalo de esta línea.</t>
  </si>
  <si>
    <t>De la cuenta a la caja</t>
  </si>
  <si>
    <t>+ Amortización (no sale de la caja)</t>
  </si>
  <si>
    <t>+ Gastos de apertura (pagados con la inversión)</t>
  </si>
  <si>
    <t>− Devolución del préstamo (capital)</t>
  </si>
  <si>
    <t>Flujo de caja del año</t>
  </si>
  <si>
    <t>Comprobación con la previsión</t>
  </si>
  <si>
    <t>Cuántos socios necesitas, cuándo llegas, cuánto baja la caja y qué pasa si la cuota o las altas se mueven.</t>
  </si>
  <si>
    <r>
      <rPr>
        <b/>
        <sz val="12"/>
        <color rgb="FF076B69"/>
        <rFont val="Arial"/>
        <family val="2"/>
      </rPr>
      <t xml:space="preserve">1   </t>
    </r>
    <r>
      <rPr>
        <b/>
        <sz val="12"/>
        <color rgb="FF0B1220"/>
        <rFont val="Arial"/>
        <family val="2"/>
      </rPr>
      <t>¿Cuántos socios necesitas para cubrir gastos?</t>
    </r>
  </si>
  <si>
    <t>Por socio y mes (sin IVA)</t>
  </si>
  <si>
    <t>Cuota media (con el escenario)</t>
  </si>
  <si>
    <t>Cómo se calcula
Socios necesarios = gastos fijos al mes ÷ margen por socio.
No cuenta las matrículas (son puntuales). Por eso el mes en que cubres gastos puede llegar un poco antes de tener estos socios.</t>
  </si>
  <si>
    <t>+ Entrenamiento personal y tienda</t>
  </si>
  <si>
    <t>Ingreso medio por socio</t>
  </si>
  <si>
    <t>− Comisiones de cobro</t>
  </si>
  <si>
    <t>− Coste de los extras</t>
  </si>
  <si>
    <t>Margen por socio y mes</t>
  </si>
  <si>
    <t>Gastos fijos al mes</t>
  </si>
  <si>
    <t>Socios para cubrir gastos fijos</t>
  </si>
  <si>
    <t>Cuota media del préstamo al mes</t>
  </si>
  <si>
    <t>Socios para cubrir gastos y préstamo</t>
  </si>
  <si>
    <t>Socios que tendrás a final de año</t>
  </si>
  <si>
    <r>
      <rPr>
        <b/>
        <sz val="12"/>
        <color rgb="FF076B69"/>
        <rFont val="Arial"/>
        <family val="2"/>
      </rPr>
      <t xml:space="preserve">2   </t>
    </r>
    <r>
      <rPr>
        <b/>
        <sz val="12"/>
        <color rgb="FF0B1220"/>
        <rFont val="Arial"/>
        <family val="2"/>
      </rPr>
      <t>¿Cuándo llegas y cuánto dinero necesitas?</t>
    </r>
  </si>
  <si>
    <t>Mes en que cubres gastos</t>
  </si>
  <si>
    <t>Caja mínima (el peor momento)</t>
  </si>
  <si>
    <t>Mes de la caja mínima</t>
  </si>
  <si>
    <t>Inversión inicial</t>
  </si>
  <si>
    <t>Del bloque 3 de «Supuestos».</t>
  </si>
  <si>
    <t>Financiación mínima</t>
  </si>
  <si>
    <t>Lo justo para que la caja no baje de 0 € en ningún mes.</t>
  </si>
  <si>
    <t>El que pusiste en «Supuestos».</t>
  </si>
  <si>
    <t>Financiación necesaria (con colchón)</t>
  </si>
  <si>
    <t>La cifra que te conviene tener cerrada antes de firmar.</t>
  </si>
  <si>
    <t>Tu financiación (aportación + préstamo)</t>
  </si>
  <si>
    <t>Te sobra (+) o te falta (−)</t>
  </si>
  <si>
    <t>Meses para recuperar la inversión</t>
  </si>
  <si>
    <r>
      <rPr>
        <b/>
        <sz val="12"/>
        <color rgb="FF076B69"/>
        <rFont val="Arial"/>
        <family val="2"/>
      </rPr>
      <t xml:space="preserve">3   </t>
    </r>
    <r>
      <rPr>
        <b/>
        <sz val="12"/>
        <color rgb="FF0B1220"/>
        <rFont val="Arial"/>
        <family val="2"/>
      </rPr>
      <t>¿Y si la cuota o las altas se mueven? (sensibilidad)</t>
    </r>
  </si>
  <si>
    <t>Cada casilla vuelve a calcular los 36 meses del escenario elegido moviendo la cuota media (columnas) y las altas de cada mes (filas). La casilla central es tu plan.</t>
  </si>
  <si>
    <t>Altas  ↓      Cuota media  →</t>
  </si>
  <si>
    <t>Número de mes en que el resultado operativo llega a 0 o más por primera vez.
Verde: antes. Coral: más tarde o nunca en 36 meses.</t>
  </si>
  <si>
    <t>Resultado del año 1 antes de impuestos</t>
  </si>
  <si>
    <t>Resultado del primer año después de amortización e intereses.
La casilla central coincide con la «Cuenta de resultados».</t>
  </si>
  <si>
    <r>
      <rPr>
        <b/>
        <sz val="12"/>
        <color rgb="FF076B69"/>
        <rFont val="Arial"/>
        <family val="2"/>
      </rPr>
      <t xml:space="preserve">4   </t>
    </r>
    <r>
      <rPr>
        <b/>
        <sz val="12"/>
        <color rgb="FF0B1220"/>
        <rFont val="Arial"/>
        <family val="2"/>
      </rPr>
      <t>Mes a mes: socios que tienes y socios que necesitas</t>
    </r>
  </si>
  <si>
    <t>Cálculos auxiliares (no tocar): margen por mes y los 25 casos de la tabla de sensibilidad</t>
  </si>
  <si>
    <t>Caso 1</t>
  </si>
  <si>
    <t>Caso 2</t>
  </si>
  <si>
    <t>Caso 3</t>
  </si>
  <si>
    <t>Caso 4</t>
  </si>
  <si>
    <t>Caso 5</t>
  </si>
  <si>
    <t>Caso 6</t>
  </si>
  <si>
    <t>Caso 7</t>
  </si>
  <si>
    <t>Caso 8</t>
  </si>
  <si>
    <t>Caso 9</t>
  </si>
  <si>
    <t>Caso 10</t>
  </si>
  <si>
    <t>Caso 11</t>
  </si>
  <si>
    <t>Caso 12</t>
  </si>
  <si>
    <t>Caso 13</t>
  </si>
  <si>
    <t>Caso 14</t>
  </si>
  <si>
    <t>Caso 15</t>
  </si>
  <si>
    <t>Caso 16</t>
  </si>
  <si>
    <t>Caso 17</t>
  </si>
  <si>
    <t>Caso 18</t>
  </si>
  <si>
    <t>Caso 19</t>
  </si>
  <si>
    <t>Caso 20</t>
  </si>
  <si>
    <t>Caso 21</t>
  </si>
  <si>
    <t>Caso 22</t>
  </si>
  <si>
    <t>Caso 23</t>
  </si>
  <si>
    <t>Caso 24</t>
  </si>
  <si>
    <t>Caso 25</t>
  </si>
  <si>
    <t>Mes</t>
  </si>
  <si>
    <t>Socios para cubrir gastos</t>
  </si>
  <si>
    <t>EBITDA</t>
  </si>
  <si>
    <t>Flujo de caja</t>
  </si>
  <si>
    <t>EBITDA acumulado</t>
  </si>
  <si>
    <t>Altas base</t>
  </si>
  <si>
    <t>Cuota neta por socio</t>
  </si>
  <si>
    <t>Extras netos por socio</t>
  </si>
  <si>
    <t>Matrícula neta</t>
  </si>
  <si>
    <t>Gastos fijos</t>
  </si>
  <si>
    <t>Caja ≥ 0</t>
  </si>
  <si>
    <t>Caja &lt; 0</t>
  </si>
  <si>
    <t>Etiqueta</t>
  </si>
  <si>
    <t>Recuperado</t>
  </si>
  <si>
    <t>EBITDA ≥ 0</t>
  </si>
  <si>
    <t>Al abrir (mes 0)</t>
  </si>
  <si>
    <t>En verde agua, el primer mes en que cubres gastos; en coral, el mes de caja mínima.</t>
  </si>
  <si>
    <t>Cuando la hoja se queda corta</t>
  </si>
  <si>
    <t>Este Excel sirve para decidir si abrir y para hablar con el banco. Cuando abras, el día a día pide otra cosa: saber quién ha pagado y quién no, quién reserva cada clase, quién entra por la puerta y cómo avisar a tus socios.</t>
  </si>
  <si>
    <t>GymGym reúne socios, cobros, reservas, accesos y comunicación en un mismo sitio, para que el tiempo se vaya en tu centro y no en las hojas de cálculo.</t>
  </si>
  <si>
    <t>Conócelo en gymgym.es</t>
  </si>
  <si>
    <t>Más recursos gratis en gymgym.es/recursos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</si>
</sst>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5" formatCode="dd/mm/yyyy"/>
    <numFmt numFmtId="166" formatCode="#,##0\ &quot;m²&quot;"/>
    <numFmt numFmtId="167" formatCode="#,##0\ &quot;€&quot;"/>
    <numFmt numFmtId="168" formatCode="0\ &quot;meses&quot;"/>
    <numFmt numFmtId="169" formatCode="#,##0\ &quot;€/m²&quot;"/>
    <numFmt numFmtId="170" formatCode="0\ &quot;años&quot;"/>
    <numFmt numFmtId="171" formatCode="#,##0.00\ &quot;€&quot;"/>
    <numFmt numFmtId="172" formatCode="0.0%"/>
    <numFmt numFmtId="173" formatCode="0.0"/>
    <numFmt numFmtId="174" formatCode="#,##0\ &quot;€&quot;;\-#,##0\ &quot;€&quot;;&quot;–&quot;"/>
    <numFmt numFmtId="175" formatCode="#,##0;\-#,##0;&quot;–&quot;"/>
    <numFmt numFmtId="176" formatCode="&quot;Mes &quot;0"/>
    <numFmt numFmtId="177" formatCode="\+0%;\-0%;0%"/>
    <numFmt numFmtId="178" formatCode="&quot;Altas &quot;\+0%;&quot;Altas &quot;\-0%;&quot;Altas como en tu plan&quot;"/>
    <numFmt numFmtId="179" formatCode="&quot;altas &quot;\+0%;&quot;altas &quot;\-0%;&quot;altas 0%&quot;"/>
    <numFmt numFmtId="180" formatCode="&quot;cuota &quot;\+0%;&quot;cuota &quot;\-0%;&quot;cuota 0%&quot;"/>
  </numFmts>
  <fonts count="31" x14ac:knownFonts="1">
    <font>
      <sz val="11"/>
      <color theme="1"/>
      <name val="Calibri"/>
      <family val="2"/>
      <scheme val="minor"/>
    </font>
    <font>
      <b/>
      <sz val="18"/>
      <color rgb="FF0B1220"/>
      <name val="Arial"/>
      <family val="2"/>
    </font>
    <font>
      <sz val="10"/>
      <color rgb="FF4B586B"/>
      <name val="Arial"/>
      <family val="2"/>
    </font>
    <font>
      <b/>
      <sz val="8"/>
      <color rgb="FF076B69"/>
      <name val="Arial"/>
      <family val="2"/>
    </font>
    <font>
      <b/>
      <sz val="8"/>
      <color rgb="FF5C697D"/>
      <name val="Arial"/>
      <family val="2"/>
    </font>
    <font>
      <sz val="8"/>
      <color rgb="FF5C697D"/>
      <name val="Arial"/>
      <family val="2"/>
    </font>
    <font>
      <b/>
      <sz val="12"/>
      <color rgb="FF0B1220"/>
      <name val="Arial"/>
      <family val="2"/>
    </font>
    <font>
      <sz val="10"/>
      <color rgb="FF0B1220"/>
      <name val="Arial"/>
      <family val="2"/>
    </font>
    <font>
      <b/>
      <sz val="10"/>
      <color rgb="FF0B1220"/>
      <name val="Arial"/>
      <family val="2"/>
    </font>
    <font>
      <sz val="8.5"/>
      <color rgb="FF5C697D"/>
      <name val="Arial"/>
      <family val="2"/>
    </font>
    <font>
      <b/>
      <sz val="10"/>
      <color rgb="FF076B69"/>
      <name val="Arial"/>
      <family val="2"/>
    </font>
    <font>
      <b/>
      <sz val="9"/>
      <color rgb="FFFFFFFF"/>
      <name val="Arial"/>
      <family val="2"/>
    </font>
    <font>
      <b/>
      <sz val="10"/>
      <color rgb="FF4B586B"/>
      <name val="Arial"/>
      <family val="2"/>
    </font>
    <font>
      <b/>
      <sz val="8.5"/>
      <color rgb="FF5C697D"/>
      <name val="Arial"/>
      <family val="2"/>
    </font>
    <font>
      <b/>
      <sz val="11"/>
      <color rgb="FF076B69"/>
      <name val="Arial"/>
      <family val="2"/>
    </font>
    <font>
      <sz val="9"/>
      <color rgb="FF5C697D"/>
      <name val="Arial"/>
      <family val="2"/>
    </font>
    <font>
      <b/>
      <sz val="12"/>
      <color rgb="FF076B69"/>
      <name val="Arial"/>
      <family val="2"/>
    </font>
    <font>
      <sz val="11"/>
      <color rgb="FF0B1220"/>
      <name val="Arial"/>
      <family val="2"/>
    </font>
    <font>
      <b/>
      <sz val="11"/>
      <color rgb="FF0B1220"/>
      <name val="Arial"/>
      <family val="2"/>
    </font>
    <font>
      <sz val="9"/>
      <color rgb="FF4B586B"/>
      <name val="Arial"/>
      <family val="2"/>
    </font>
    <font>
      <sz val="7"/>
      <color rgb="FF5C697D"/>
      <name val="Arial"/>
      <family val="2"/>
    </font>
    <font>
      <sz val="10"/>
      <color rgb="FF5C697D"/>
      <name val="Arial"/>
      <family val="2"/>
    </font>
    <font>
      <sz val="9"/>
      <color rgb="FF9A5B05"/>
      <name val="Arial"/>
      <family val="2"/>
    </font>
    <font>
      <b/>
      <sz val="8.5"/>
      <color rgb="FF0F6B47"/>
      <name val="Arial"/>
      <family val="2"/>
    </font>
    <font>
      <b/>
      <sz val="22"/>
      <color rgb="FF0B1220"/>
      <name val="Arial"/>
      <family val="2"/>
    </font>
    <font>
      <sz val="10.5"/>
      <color rgb="FF4B586B"/>
      <name val="Arial"/>
      <family val="2"/>
    </font>
    <font>
      <b/>
      <sz val="9"/>
      <color rgb="FF076B69"/>
      <name val="Arial"/>
      <family val="2"/>
    </font>
    <font>
      <b/>
      <u/>
      <sz val="10"/>
      <color rgb="FF076B69"/>
      <name val="Arial"/>
      <family val="2"/>
    </font>
    <font>
      <b/>
      <sz val="16"/>
      <color rgb="FF076B69"/>
      <name val="Arial"/>
      <family val="2"/>
    </font>
    <font>
      <sz val="11"/>
      <color rgb="FF4B586B"/>
      <name val="Arial"/>
      <family val="2"/>
    </font>
    <font>
      <b/>
      <u/>
      <sz val="11"/>
      <color rgb="FF076B69"/>
      <name val="Arial"/>
      <family val="2"/>
    </font>
  </fonts>
  <fills count="8">
    <fill>
      <patternFill patternType="none"/>
    </fill>
    <fill>
      <patternFill patternType="gray125"/>
    </fill>
    <fill>
      <patternFill patternType="solid">
        <fgColor rgb="FF1DD6C1"/>
        <bgColor rgb="FF1DD6C1"/>
      </patternFill>
    </fill>
    <fill>
      <patternFill patternType="solid">
        <fgColor rgb="FFE4FAF6"/>
        <bgColor rgb="FFE4FAF6"/>
      </patternFill>
    </fill>
    <fill>
      <patternFill patternType="solid">
        <fgColor rgb="FF0A0E15"/>
        <bgColor rgb="FF0A0E15"/>
      </patternFill>
    </fill>
    <fill>
      <patternFill patternType="solid">
        <fgColor rgb="FFF6F8FB"/>
        <bgColor rgb="FFF6F8FB"/>
      </patternFill>
    </fill>
    <fill>
      <patternFill patternType="solid">
        <fgColor rgb="FFFFF1D8"/>
        <bgColor rgb="FFFFF1D8"/>
      </patternFill>
    </fill>
    <fill>
      <patternFill patternType="solid">
        <fgColor rgb="FFFFE8ED"/>
        <bgColor rgb="FFFFE8ED"/>
      </patternFill>
    </fill>
  </fills>
  <borders count="18">
    <border>
      <left/>
      <right/>
      <top/>
      <bottom/>
      <diagonal/>
    </border>
    <border>
      <left style="thin">
        <color rgb="FFA6E6DC"/>
      </left>
      <right style="thin">
        <color rgb="FFA6E6DC"/>
      </right>
      <top style="thin">
        <color rgb="FFA6E6DC"/>
      </top>
      <bottom style="thin">
        <color rgb="FFA6E6DC"/>
      </bottom>
      <diagonal/>
    </border>
    <border>
      <left style="thin">
        <color rgb="FFE3E9F0"/>
      </left>
      <right style="thin">
        <color rgb="FFE3E9F0"/>
      </right>
      <top style="thin">
        <color rgb="FFE3E9F0"/>
      </top>
      <bottom style="thin">
        <color rgb="FFE3E9F0"/>
      </bottom>
      <diagonal/>
    </border>
    <border>
      <left/>
      <right/>
      <top/>
      <bottom style="medium">
        <color rgb="FF1DD6C1"/>
      </bottom>
      <diagonal/>
    </border>
    <border>
      <left/>
      <right style="thin">
        <color rgb="FFA6E6DC"/>
      </right>
      <top style="thin">
        <color rgb="FFA6E6DC"/>
      </top>
      <bottom style="thin">
        <color rgb="FFA6E6DC"/>
      </bottom>
      <diagonal/>
    </border>
    <border>
      <left style="thin">
        <color rgb="FF0A0E15"/>
      </left>
      <right style="thin">
        <color rgb="FF0A0E15"/>
      </right>
      <top style="thin">
        <color rgb="FF0A0E15"/>
      </top>
      <bottom style="thin">
        <color rgb="FF0A0E15"/>
      </bottom>
      <diagonal/>
    </border>
    <border>
      <left/>
      <right/>
      <top/>
      <bottom style="thin">
        <color rgb="FFE3E9F0"/>
      </bottom>
      <diagonal/>
    </border>
    <border>
      <left/>
      <right/>
      <top style="thin">
        <color rgb="FF0A0E15"/>
      </top>
      <bottom style="thin">
        <color rgb="FFE3E9F0"/>
      </bottom>
      <diagonal/>
    </border>
    <border>
      <left/>
      <right/>
      <top style="thin">
        <color rgb="FF0A0E15"/>
      </top>
      <bottom style="thin">
        <color rgb="FF0A0E15"/>
      </bottom>
      <diagonal/>
    </border>
    <border>
      <left/>
      <right/>
      <top style="thin">
        <color rgb="FF1DD6C1"/>
      </top>
      <bottom style="thin">
        <color rgb="FF1DD6C1"/>
      </bottom>
      <diagonal/>
    </border>
    <border>
      <left/>
      <right/>
      <top/>
      <bottom style="thin">
        <color rgb="FFE3E9F0"/>
      </bottom>
      <diagonal/>
    </border>
    <border>
      <left/>
      <right/>
      <top style="medium">
        <color rgb="FF0A0E15"/>
      </top>
      <bottom style="medium">
        <color rgb="FF0A0E15"/>
      </bottom>
      <diagonal/>
    </border>
    <border>
      <left style="medium">
        <color rgb="FF0A0E15"/>
      </left>
      <right style="medium">
        <color rgb="FF0A0E15"/>
      </right>
      <top style="medium">
        <color rgb="FF0A0E15"/>
      </top>
      <bottom style="medium">
        <color rgb="FF0A0E15"/>
      </bottom>
      <diagonal/>
    </border>
    <border>
      <left/>
      <right/>
      <top style="thick">
        <color rgb="FF1DD6C1"/>
      </top>
      <bottom/>
      <diagonal/>
    </border>
    <border>
      <left style="thick">
        <color rgb="FF1DD6C1"/>
      </left>
      <right/>
      <top/>
      <bottom/>
      <diagonal/>
    </border>
    <border>
      <left style="thick">
        <color rgb="FF4A3CCF"/>
      </left>
      <right/>
      <top/>
      <bottom/>
      <diagonal/>
    </border>
    <border>
      <left style="thick">
        <color rgb="FF4F82EC"/>
      </left>
      <right/>
      <top/>
      <bottom/>
      <diagonal/>
    </border>
    <border>
      <left style="thick">
        <color rgb="FF0A0E15"/>
      </left>
      <right/>
      <top/>
      <bottom/>
      <diagonal/>
    </border>
  </borders>
  <cellStyleXfs count="1">
    <xf numFmtId="0" fontId="0" fillId="0" borderId="0"/>
  </cellStyleXfs>
  <cellXfs count="160">
    <xf numFmtId="0" fontId="0" fillId="0" borderId="0" xfId="0"/>
    <xf numFmtId="0" fontId="24" fillId="0" borderId="0" xfId="0" applyFont="1"/>
    <xf numFmtId="0" fontId="0" fillId="2" borderId="0" xfId="0" applyFill="1"/>
    <xf numFmtId="0" fontId="6" fillId="0" borderId="0" xfId="0" applyFont="1"/>
    <xf numFmtId="0" fontId="11" fillId="4" borderId="5" xfId="0" applyFont="1" applyFill="1" applyBorder="1" applyAlignment="1">
      <alignment horizontal="center" vertical="center" wrapText="1"/>
    </xf>
    <xf numFmtId="0" fontId="11" fillId="4" borderId="5" xfId="0" applyFont="1" applyFill="1" applyBorder="1" applyAlignment="1">
      <alignment horizontal="left" vertical="center" indent="1"/>
    </xf>
    <xf numFmtId="0" fontId="26" fillId="0" borderId="6" xfId="0" applyFont="1" applyBorder="1" applyAlignment="1">
      <alignment horizontal="center" vertical="center"/>
    </xf>
    <xf numFmtId="0" fontId="7" fillId="0" borderId="6" xfId="0" applyFont="1" applyBorder="1" applyAlignment="1">
      <alignment vertical="center" indent="1"/>
    </xf>
    <xf numFmtId="0" fontId="27" fillId="0" borderId="6" xfId="0" applyFont="1" applyBorder="1" applyAlignment="1">
      <alignment vertical="center" indent="1"/>
    </xf>
    <xf numFmtId="0" fontId="18" fillId="0" borderId="0" xfId="0" applyFont="1"/>
    <xf numFmtId="0" fontId="7" fillId="3" borderId="1" xfId="0" applyFont="1" applyFill="1" applyBorder="1" applyAlignment="1">
      <alignment vertical="center"/>
    </xf>
    <xf numFmtId="0" fontId="2" fillId="0" borderId="0" xfId="0" applyFont="1" applyAlignment="1">
      <alignment vertical="center" indent="1"/>
    </xf>
    <xf numFmtId="0" fontId="2" fillId="0" borderId="14" xfId="0" applyFont="1" applyBorder="1" applyAlignment="1">
      <alignment vertical="center" indent="2"/>
    </xf>
    <xf numFmtId="0" fontId="7" fillId="0" borderId="2" xfId="0" applyFont="1" applyBorder="1" applyAlignment="1">
      <alignment vertical="center"/>
    </xf>
    <xf numFmtId="0" fontId="2" fillId="0" borderId="15" xfId="0" applyFont="1" applyBorder="1" applyAlignment="1">
      <alignment vertical="center" indent="2"/>
    </xf>
    <xf numFmtId="0" fontId="7" fillId="7" borderId="2" xfId="0" applyFont="1" applyFill="1" applyBorder="1" applyAlignment="1">
      <alignment vertical="center"/>
    </xf>
    <xf numFmtId="0" fontId="2" fillId="0" borderId="16" xfId="0" applyFont="1" applyBorder="1" applyAlignment="1">
      <alignment vertical="center" indent="2"/>
    </xf>
    <xf numFmtId="0" fontId="2" fillId="0" borderId="17" xfId="0" applyFont="1" applyBorder="1" applyAlignment="1">
      <alignment vertical="center" indent="2"/>
    </xf>
    <xf numFmtId="0" fontId="10" fillId="0" borderId="0" xfId="0" applyFont="1" applyAlignment="1">
      <alignment horizontal="center" vertical="center"/>
    </xf>
    <xf numFmtId="0" fontId="2" fillId="0" borderId="0" xfId="0" applyFont="1" applyAlignment="1">
      <alignment vertical="center"/>
    </xf>
    <xf numFmtId="0" fontId="27" fillId="0" borderId="0" xfId="0" applyFont="1" applyAlignment="1">
      <alignment vertical="center"/>
    </xf>
    <xf numFmtId="0" fontId="1" fillId="0" borderId="0" xfId="0" applyFont="1"/>
    <xf numFmtId="0" fontId="5" fillId="0" borderId="0" xfId="0" applyFont="1" applyAlignment="1">
      <alignment horizontal="right" vertical="center"/>
    </xf>
    <xf numFmtId="0" fontId="3" fillId="3" borderId="1" xfId="0" applyFont="1" applyFill="1" applyBorder="1" applyAlignment="1">
      <alignment horizontal="center" vertical="center"/>
    </xf>
    <xf numFmtId="0" fontId="4" fillId="0" borderId="2" xfId="0" applyFont="1" applyBorder="1" applyAlignment="1">
      <alignment horizontal="center" vertical="center"/>
    </xf>
    <xf numFmtId="0" fontId="6" fillId="0" borderId="3" xfId="0" applyFont="1" applyBorder="1"/>
    <xf numFmtId="0" fontId="0" fillId="0" borderId="3" xfId="0" applyBorder="1"/>
    <xf numFmtId="0" fontId="7" fillId="0" borderId="0" xfId="0" applyFont="1" applyAlignment="1">
      <alignment vertical="center" wrapText="1"/>
    </xf>
    <xf numFmtId="165" fontId="7" fillId="3" borderId="1" xfId="0" applyNumberFormat="1" applyFont="1" applyFill="1" applyBorder="1" applyAlignment="1">
      <alignment horizontal="center" vertical="center"/>
    </xf>
    <xf numFmtId="0" fontId="9" fillId="0" borderId="0" xfId="0" applyFont="1" applyAlignment="1">
      <alignment vertical="center"/>
    </xf>
    <xf numFmtId="0" fontId="8" fillId="0" borderId="0" xfId="0" applyFont="1" applyAlignment="1">
      <alignment vertical="center" wrapText="1"/>
    </xf>
    <xf numFmtId="0" fontId="10" fillId="3" borderId="1" xfId="0" applyFont="1" applyFill="1" applyBorder="1" applyAlignment="1">
      <alignment horizontal="center" vertical="center"/>
    </xf>
    <xf numFmtId="0" fontId="11" fillId="4" borderId="5" xfId="0" applyFont="1" applyFill="1" applyBorder="1" applyAlignment="1">
      <alignment horizontal="left" vertical="center" wrapText="1" indent="1"/>
    </xf>
    <xf numFmtId="0" fontId="7" fillId="0" borderId="0" xfId="0" applyFont="1" applyAlignment="1">
      <alignment vertical="center" wrapText="1" indent="1"/>
    </xf>
    <xf numFmtId="9" fontId="7" fillId="3" borderId="1" xfId="0" applyNumberFormat="1" applyFont="1" applyFill="1" applyBorder="1" applyAlignment="1">
      <alignment horizontal="center" vertical="center"/>
    </xf>
    <xf numFmtId="9" fontId="10" fillId="0" borderId="6" xfId="0" applyNumberFormat="1" applyFont="1" applyBorder="1" applyAlignment="1">
      <alignment horizontal="center" vertical="center"/>
    </xf>
    <xf numFmtId="166" fontId="7" fillId="3" borderId="1" xfId="0" applyNumberFormat="1" applyFont="1" applyFill="1" applyBorder="1" applyAlignment="1">
      <alignment horizontal="right" vertical="center"/>
    </xf>
    <xf numFmtId="167" fontId="7" fillId="3" borderId="1" xfId="0" applyNumberFormat="1" applyFont="1" applyFill="1" applyBorder="1" applyAlignment="1">
      <alignment horizontal="right" vertical="center"/>
    </xf>
    <xf numFmtId="168" fontId="7" fillId="3" borderId="1" xfId="0" applyNumberFormat="1" applyFont="1" applyFill="1" applyBorder="1" applyAlignment="1">
      <alignment horizontal="right" vertical="center"/>
    </xf>
    <xf numFmtId="169" fontId="7" fillId="3" borderId="1" xfId="0" applyNumberFormat="1" applyFont="1" applyFill="1" applyBorder="1" applyAlignment="1">
      <alignment horizontal="right" vertical="center"/>
    </xf>
    <xf numFmtId="167" fontId="7" fillId="0" borderId="6" xfId="0" applyNumberFormat="1" applyFont="1" applyBorder="1" applyAlignment="1">
      <alignment horizontal="right" vertical="center"/>
    </xf>
    <xf numFmtId="0" fontId="8" fillId="0" borderId="7" xfId="0" applyFont="1" applyBorder="1" applyAlignment="1">
      <alignment vertical="center" wrapText="1"/>
    </xf>
    <xf numFmtId="167" fontId="8" fillId="0" borderId="7" xfId="0" applyNumberFormat="1" applyFont="1" applyBorder="1" applyAlignment="1">
      <alignment horizontal="right" vertical="center"/>
    </xf>
    <xf numFmtId="170" fontId="7" fillId="3" borderId="1" xfId="0" applyNumberFormat="1" applyFont="1" applyFill="1" applyBorder="1" applyAlignment="1">
      <alignment horizontal="right" vertical="center"/>
    </xf>
    <xf numFmtId="9" fontId="7" fillId="3" borderId="1" xfId="0" applyNumberFormat="1" applyFont="1" applyFill="1" applyBorder="1" applyAlignment="1">
      <alignment horizontal="right" vertical="center"/>
    </xf>
    <xf numFmtId="0" fontId="7" fillId="3" borderId="1" xfId="0" applyFont="1" applyFill="1" applyBorder="1" applyAlignment="1">
      <alignment vertical="center" indent="1"/>
    </xf>
    <xf numFmtId="171" fontId="7" fillId="3" borderId="1" xfId="0" applyNumberFormat="1" applyFont="1" applyFill="1" applyBorder="1" applyAlignment="1">
      <alignment horizontal="right" vertical="center"/>
    </xf>
    <xf numFmtId="171" fontId="2" fillId="0" borderId="6" xfId="0" applyNumberFormat="1" applyFont="1" applyBorder="1" applyAlignment="1">
      <alignment horizontal="right" vertical="center"/>
    </xf>
    <xf numFmtId="171" fontId="8" fillId="0" borderId="6" xfId="0" applyNumberFormat="1" applyFont="1" applyBorder="1" applyAlignment="1">
      <alignment horizontal="right" vertical="center"/>
    </xf>
    <xf numFmtId="171" fontId="12" fillId="0" borderId="6" xfId="0" applyNumberFormat="1" applyFont="1" applyBorder="1" applyAlignment="1">
      <alignment horizontal="right" vertical="center"/>
    </xf>
    <xf numFmtId="9" fontId="8" fillId="0" borderId="6" xfId="0" applyNumberFormat="1" applyFont="1" applyBorder="1" applyAlignment="1">
      <alignment horizontal="center" vertical="center"/>
    </xf>
    <xf numFmtId="0" fontId="13" fillId="0" borderId="0" xfId="0" applyFont="1" applyAlignment="1">
      <alignment horizontal="center" vertical="center"/>
    </xf>
    <xf numFmtId="3" fontId="7" fillId="3" borderId="1" xfId="0" applyNumberFormat="1" applyFont="1" applyFill="1" applyBorder="1" applyAlignment="1">
      <alignment horizontal="right" vertical="center"/>
    </xf>
    <xf numFmtId="9" fontId="2" fillId="0" borderId="6" xfId="0" applyNumberFormat="1" applyFont="1" applyBorder="1" applyAlignment="1">
      <alignment horizontal="center" vertical="center"/>
    </xf>
    <xf numFmtId="3" fontId="8" fillId="0" borderId="7" xfId="0" applyNumberFormat="1" applyFont="1" applyBorder="1" applyAlignment="1">
      <alignment horizontal="right" vertical="center"/>
    </xf>
    <xf numFmtId="172" fontId="7" fillId="3" borderId="1" xfId="0" applyNumberFormat="1" applyFont="1" applyFill="1" applyBorder="1" applyAlignment="1">
      <alignment horizontal="right" vertical="center"/>
    </xf>
    <xf numFmtId="3" fontId="7" fillId="0" borderId="6" xfId="0" applyNumberFormat="1" applyFont="1" applyBorder="1" applyAlignment="1">
      <alignment horizontal="right" vertical="center"/>
    </xf>
    <xf numFmtId="173" fontId="7" fillId="3" borderId="1" xfId="0" applyNumberFormat="1" applyFont="1" applyFill="1" applyBorder="1" applyAlignment="1">
      <alignment horizontal="center" vertical="center"/>
    </xf>
    <xf numFmtId="172" fontId="7" fillId="3" borderId="1" xfId="0" applyNumberFormat="1" applyFont="1" applyFill="1" applyBorder="1" applyAlignment="1">
      <alignment horizontal="center" vertical="center"/>
    </xf>
    <xf numFmtId="174" fontId="7" fillId="0" borderId="6" xfId="0" applyNumberFormat="1" applyFont="1" applyBorder="1" applyAlignment="1">
      <alignment horizontal="right" vertical="center"/>
    </xf>
    <xf numFmtId="173" fontId="8" fillId="0" borderId="7" xfId="0" applyNumberFormat="1" applyFont="1" applyBorder="1" applyAlignment="1">
      <alignment horizontal="center" vertical="center"/>
    </xf>
    <xf numFmtId="0" fontId="0" fillId="0" borderId="7" xfId="0" applyBorder="1"/>
    <xf numFmtId="171" fontId="7" fillId="0" borderId="6" xfId="0" applyNumberFormat="1" applyFont="1" applyBorder="1" applyAlignment="1">
      <alignment horizontal="right" vertical="center"/>
    </xf>
    <xf numFmtId="167" fontId="8" fillId="0" borderId="6" xfId="0" applyNumberFormat="1" applyFont="1" applyBorder="1" applyAlignment="1">
      <alignment horizontal="right" vertical="center"/>
    </xf>
    <xf numFmtId="0" fontId="9" fillId="0" borderId="0" xfId="0" applyFont="1"/>
    <xf numFmtId="0" fontId="8" fillId="0" borderId="6" xfId="0" applyFont="1" applyBorder="1" applyAlignment="1">
      <alignment vertical="center" indent="1"/>
    </xf>
    <xf numFmtId="0" fontId="20" fillId="0" borderId="0" xfId="0" applyFont="1" applyAlignment="1">
      <alignment vertical="center"/>
    </xf>
    <xf numFmtId="0" fontId="19" fillId="0" borderId="0" xfId="0" applyFont="1" applyAlignment="1">
      <alignment vertical="center"/>
    </xf>
    <xf numFmtId="0" fontId="5" fillId="0" borderId="0" xfId="0" applyFont="1" applyAlignment="1">
      <alignment vertical="center"/>
    </xf>
    <xf numFmtId="0" fontId="5" fillId="0" borderId="0" xfId="0" applyFont="1" applyAlignment="1">
      <alignment vertical="center" indent="1"/>
    </xf>
    <xf numFmtId="1" fontId="5" fillId="0" borderId="0" xfId="0" applyNumberFormat="1" applyFont="1" applyAlignment="1">
      <alignment horizontal="center" vertical="center"/>
    </xf>
    <xf numFmtId="0" fontId="3" fillId="0" borderId="0" xfId="0" applyFont="1" applyAlignment="1">
      <alignment indent="1"/>
    </xf>
    <xf numFmtId="175" fontId="7" fillId="0" borderId="6" xfId="0" applyNumberFormat="1" applyFont="1" applyBorder="1" applyAlignment="1">
      <alignment horizontal="right" vertical="center"/>
    </xf>
    <xf numFmtId="175" fontId="8" fillId="5" borderId="6" xfId="0" applyNumberFormat="1" applyFont="1" applyFill="1" applyBorder="1" applyAlignment="1">
      <alignment horizontal="right" vertical="center"/>
    </xf>
    <xf numFmtId="175" fontId="8" fillId="0" borderId="6" xfId="0" applyNumberFormat="1" applyFont="1" applyBorder="1" applyAlignment="1">
      <alignment horizontal="right" vertical="center"/>
    </xf>
    <xf numFmtId="174" fontId="8" fillId="5" borderId="6" xfId="0" applyNumberFormat="1" applyFont="1" applyFill="1" applyBorder="1" applyAlignment="1">
      <alignment horizontal="right" vertical="center"/>
    </xf>
    <xf numFmtId="174" fontId="8" fillId="0" borderId="6" xfId="0" applyNumberFormat="1" applyFont="1" applyBorder="1" applyAlignment="1">
      <alignment horizontal="right" vertical="center"/>
    </xf>
    <xf numFmtId="0" fontId="8" fillId="3" borderId="8" xfId="0" applyFont="1" applyFill="1" applyBorder="1" applyAlignment="1">
      <alignment vertical="center" indent="1"/>
    </xf>
    <xf numFmtId="174" fontId="8" fillId="3" borderId="8" xfId="0" applyNumberFormat="1" applyFont="1" applyFill="1" applyBorder="1" applyAlignment="1">
      <alignment horizontal="right" vertical="center"/>
    </xf>
    <xf numFmtId="0" fontId="2" fillId="0" borderId="6" xfId="0" applyFont="1" applyBorder="1" applyAlignment="1">
      <alignment vertical="center" indent="1"/>
    </xf>
    <xf numFmtId="174" fontId="2" fillId="0" borderId="6" xfId="0" applyNumberFormat="1" applyFont="1" applyBorder="1" applyAlignment="1">
      <alignment horizontal="right" vertical="center"/>
    </xf>
    <xf numFmtId="0" fontId="8" fillId="5" borderId="8" xfId="0" applyFont="1" applyFill="1" applyBorder="1" applyAlignment="1">
      <alignment vertical="center" indent="1"/>
    </xf>
    <xf numFmtId="174" fontId="8" fillId="5" borderId="8" xfId="0" applyNumberFormat="1" applyFont="1" applyFill="1" applyBorder="1" applyAlignment="1">
      <alignment horizontal="right" vertical="center"/>
    </xf>
    <xf numFmtId="0" fontId="21" fillId="0" borderId="6" xfId="0" applyFont="1" applyBorder="1" applyAlignment="1">
      <alignment vertical="center" indent="1"/>
    </xf>
    <xf numFmtId="3" fontId="21" fillId="0" borderId="6" xfId="0" applyNumberFormat="1" applyFont="1" applyBorder="1" applyAlignment="1">
      <alignment horizontal="right" vertical="center"/>
    </xf>
    <xf numFmtId="9" fontId="9" fillId="0" borderId="6" xfId="0" applyNumberFormat="1" applyFont="1" applyBorder="1" applyAlignment="1">
      <alignment horizontal="right" vertical="center"/>
    </xf>
    <xf numFmtId="0" fontId="8" fillId="0" borderId="7" xfId="0" applyFont="1" applyBorder="1" applyAlignment="1">
      <alignment vertical="center" indent="1"/>
    </xf>
    <xf numFmtId="174" fontId="8" fillId="0" borderId="7" xfId="0" applyNumberFormat="1" applyFont="1" applyBorder="1" applyAlignment="1">
      <alignment horizontal="right" vertical="center"/>
    </xf>
    <xf numFmtId="9" fontId="9" fillId="0" borderId="7" xfId="0" applyNumberFormat="1" applyFont="1" applyBorder="1" applyAlignment="1">
      <alignment horizontal="right" vertical="center"/>
    </xf>
    <xf numFmtId="9" fontId="9" fillId="3" borderId="8" xfId="0" applyNumberFormat="1" applyFont="1" applyFill="1" applyBorder="1" applyAlignment="1">
      <alignment horizontal="right" vertical="center"/>
    </xf>
    <xf numFmtId="172" fontId="7" fillId="0" borderId="6" xfId="0" applyNumberFormat="1" applyFont="1" applyBorder="1" applyAlignment="1">
      <alignment horizontal="right" vertical="center"/>
    </xf>
    <xf numFmtId="0" fontId="8" fillId="5" borderId="11" xfId="0" applyFont="1" applyFill="1" applyBorder="1" applyAlignment="1">
      <alignment vertical="center" indent="1"/>
    </xf>
    <xf numFmtId="174" fontId="6" fillId="5" borderId="11" xfId="0" applyNumberFormat="1" applyFont="1" applyFill="1" applyBorder="1" applyAlignment="1">
      <alignment horizontal="right" vertical="center"/>
    </xf>
    <xf numFmtId="9" fontId="9" fillId="5" borderId="11" xfId="0" applyNumberFormat="1" applyFont="1" applyFill="1" applyBorder="1" applyAlignment="1">
      <alignment horizontal="right" vertical="center"/>
    </xf>
    <xf numFmtId="0" fontId="18" fillId="0" borderId="3" xfId="0" applyFont="1" applyBorder="1"/>
    <xf numFmtId="0" fontId="7" fillId="0" borderId="6" xfId="0" applyFont="1" applyBorder="1" applyAlignment="1">
      <alignment vertical="center"/>
    </xf>
    <xf numFmtId="0" fontId="7" fillId="0" borderId="7" xfId="0" applyFont="1" applyBorder="1" applyAlignment="1">
      <alignment vertical="center"/>
    </xf>
    <xf numFmtId="0" fontId="9" fillId="0" borderId="0" xfId="0" applyFont="1" applyAlignment="1">
      <alignment vertical="center" indent="1"/>
    </xf>
    <xf numFmtId="0" fontId="23" fillId="0" borderId="0" xfId="0" applyFont="1" applyAlignment="1">
      <alignment horizontal="right" vertical="center"/>
    </xf>
    <xf numFmtId="0" fontId="8" fillId="3" borderId="9" xfId="0" applyFont="1" applyFill="1" applyBorder="1" applyAlignment="1">
      <alignment vertical="center" indent="1"/>
    </xf>
    <xf numFmtId="3" fontId="14" fillId="3" borderId="9" xfId="0" applyNumberFormat="1" applyFont="1" applyFill="1" applyBorder="1" applyAlignment="1">
      <alignment horizontal="right" vertical="center"/>
    </xf>
    <xf numFmtId="3" fontId="8" fillId="0" borderId="6" xfId="0" applyNumberFormat="1" applyFont="1" applyBorder="1" applyAlignment="1">
      <alignment horizontal="right" vertical="center"/>
    </xf>
    <xf numFmtId="176" fontId="6" fillId="0" borderId="6" xfId="0" applyNumberFormat="1" applyFont="1" applyBorder="1" applyAlignment="1">
      <alignment horizontal="right" vertical="center"/>
    </xf>
    <xf numFmtId="167" fontId="6" fillId="0" borderId="6" xfId="0" applyNumberFormat="1" applyFont="1" applyBorder="1" applyAlignment="1">
      <alignment horizontal="right" vertical="center"/>
    </xf>
    <xf numFmtId="176" fontId="7" fillId="0" borderId="6" xfId="0" applyNumberFormat="1" applyFont="1" applyBorder="1" applyAlignment="1">
      <alignment horizontal="right" vertical="center"/>
    </xf>
    <xf numFmtId="167" fontId="16" fillId="3" borderId="6" xfId="0" applyNumberFormat="1" applyFont="1" applyFill="1" applyBorder="1" applyAlignment="1">
      <alignment horizontal="right" vertical="center"/>
    </xf>
    <xf numFmtId="168" fontId="6" fillId="0" borderId="6" xfId="0" applyNumberFormat="1" applyFont="1" applyBorder="1" applyAlignment="1">
      <alignment horizontal="right" vertical="center"/>
    </xf>
    <xf numFmtId="0" fontId="8" fillId="0" borderId="0" xfId="0" applyFont="1"/>
    <xf numFmtId="177" fontId="11" fillId="4" borderId="5" xfId="0" applyNumberFormat="1" applyFont="1" applyFill="1" applyBorder="1" applyAlignment="1">
      <alignment horizontal="center" vertical="center" wrapText="1"/>
    </xf>
    <xf numFmtId="178" fontId="11" fillId="4" borderId="8" xfId="0" applyNumberFormat="1" applyFont="1" applyFill="1" applyBorder="1" applyAlignment="1">
      <alignment horizontal="left" vertical="center" indent="1"/>
    </xf>
    <xf numFmtId="1" fontId="17" fillId="0" borderId="2" xfId="0" applyNumberFormat="1" applyFont="1" applyBorder="1" applyAlignment="1">
      <alignment horizontal="center" vertical="center"/>
    </xf>
    <xf numFmtId="1" fontId="18" fillId="0" borderId="12" xfId="0" applyNumberFormat="1" applyFont="1" applyBorder="1" applyAlignment="1">
      <alignment horizontal="center" vertical="center"/>
    </xf>
    <xf numFmtId="167" fontId="7" fillId="0" borderId="2" xfId="0" applyNumberFormat="1" applyFont="1" applyBorder="1" applyAlignment="1">
      <alignment horizontal="center" vertical="center"/>
    </xf>
    <xf numFmtId="167" fontId="8" fillId="0" borderId="12" xfId="0" applyNumberFormat="1" applyFont="1" applyBorder="1" applyAlignment="1">
      <alignment horizontal="center" vertical="center"/>
    </xf>
    <xf numFmtId="0" fontId="4" fillId="0" borderId="0" xfId="0" applyFont="1" applyAlignment="1">
      <alignment vertical="center"/>
    </xf>
    <xf numFmtId="179" fontId="5" fillId="0" borderId="0" xfId="0" applyNumberFormat="1" applyFont="1" applyAlignment="1">
      <alignment vertical="center"/>
    </xf>
    <xf numFmtId="0" fontId="4" fillId="0" borderId="0" xfId="0" applyFont="1" applyAlignment="1">
      <alignment horizontal="center" vertical="center" wrapText="1"/>
    </xf>
    <xf numFmtId="180" fontId="5" fillId="0" borderId="0" xfId="0" applyNumberFormat="1" applyFont="1" applyAlignment="1">
      <alignment vertical="center"/>
    </xf>
    <xf numFmtId="0" fontId="4" fillId="0" borderId="0" xfId="0" applyFont="1" applyAlignment="1">
      <alignment horizontal="center" vertical="center"/>
    </xf>
    <xf numFmtId="0" fontId="5" fillId="0" borderId="0" xfId="0" applyFont="1" applyAlignment="1">
      <alignment horizontal="center" vertical="center"/>
    </xf>
    <xf numFmtId="3" fontId="5" fillId="0" borderId="0" xfId="0" applyNumberFormat="1" applyFont="1" applyAlignment="1">
      <alignment horizontal="right" vertical="center"/>
    </xf>
    <xf numFmtId="1" fontId="5" fillId="0" borderId="0" xfId="0" applyNumberFormat="1" applyFont="1" applyAlignment="1">
      <alignment horizontal="right" vertical="center"/>
    </xf>
    <xf numFmtId="1" fontId="5" fillId="0" borderId="0" xfId="0" applyNumberFormat="1" applyFont="1" applyAlignment="1">
      <alignment vertical="center"/>
    </xf>
    <xf numFmtId="4" fontId="5" fillId="0" borderId="0" xfId="0" applyNumberFormat="1" applyFont="1" applyAlignment="1">
      <alignment horizontal="right" vertical="center"/>
    </xf>
    <xf numFmtId="3" fontId="5" fillId="0" borderId="0" xfId="0" applyNumberFormat="1" applyFont="1" applyAlignment="1">
      <alignment vertical="center"/>
    </xf>
    <xf numFmtId="0" fontId="29" fillId="0" borderId="0" xfId="0" applyFont="1" applyAlignment="1">
      <alignment vertical="top" wrapText="1"/>
    </xf>
    <xf numFmtId="0" fontId="30" fillId="0" borderId="0" xfId="0" applyFont="1" applyAlignment="1">
      <alignment vertical="center"/>
    </xf>
    <xf numFmtId="0" fontId="2" fillId="0" borderId="0" xfId="0" applyFont="1" applyAlignment="1">
      <alignment vertical="top" wrapText="1"/>
    </xf>
    <xf numFmtId="0" fontId="0" fillId="0" borderId="0" xfId="0"/>
    <xf numFmtId="0" fontId="2" fillId="0" borderId="0" xfId="0" applyFont="1" applyAlignment="1">
      <alignment vertical="center"/>
    </xf>
    <xf numFmtId="0" fontId="28" fillId="0" borderId="0" xfId="0" applyFont="1" applyAlignment="1">
      <alignment horizontal="center" vertical="top"/>
    </xf>
    <xf numFmtId="0" fontId="18" fillId="0" borderId="0" xfId="0" applyFont="1"/>
    <xf numFmtId="0" fontId="25" fillId="0" borderId="0" xfId="0" applyFont="1" applyAlignment="1">
      <alignment vertical="top" wrapText="1"/>
    </xf>
    <xf numFmtId="0" fontId="9" fillId="0" borderId="0" xfId="0" applyFont="1" applyAlignment="1">
      <alignment vertical="center" wrapText="1"/>
    </xf>
    <xf numFmtId="0" fontId="9" fillId="0" borderId="0" xfId="0" applyFont="1" applyAlignment="1">
      <alignment vertical="center"/>
    </xf>
    <xf numFmtId="0" fontId="9" fillId="0" borderId="0" xfId="0" applyFont="1" applyAlignment="1">
      <alignment vertical="top" wrapText="1"/>
    </xf>
    <xf numFmtId="0" fontId="11" fillId="4" borderId="0" xfId="0" applyFont="1" applyFill="1" applyAlignment="1">
      <alignment horizontal="left" vertical="center" indent="1"/>
    </xf>
    <xf numFmtId="0" fontId="8" fillId="3" borderId="1" xfId="0" applyFont="1" applyFill="1" applyBorder="1" applyAlignment="1">
      <alignment horizontal="left" vertical="center" indent="1"/>
    </xf>
    <xf numFmtId="0" fontId="0" fillId="0" borderId="4" xfId="0" applyBorder="1"/>
    <xf numFmtId="0" fontId="5" fillId="5" borderId="0" xfId="0" applyFont="1" applyFill="1" applyAlignment="1">
      <alignment vertical="top" wrapText="1" indent="1"/>
    </xf>
    <xf numFmtId="3" fontId="1" fillId="5" borderId="0" xfId="0" applyNumberFormat="1" applyFont="1" applyFill="1" applyAlignment="1">
      <alignment horizontal="left" vertical="center" indent="1"/>
    </xf>
    <xf numFmtId="3" fontId="7" fillId="0" borderId="6" xfId="0" applyNumberFormat="1" applyFont="1" applyBorder="1" applyAlignment="1">
      <alignment horizontal="right" vertical="center"/>
    </xf>
    <xf numFmtId="0" fontId="0" fillId="0" borderId="10" xfId="0" applyBorder="1"/>
    <xf numFmtId="167" fontId="7" fillId="0" borderId="6" xfId="0" applyNumberFormat="1" applyFont="1" applyBorder="1" applyAlignment="1">
      <alignment horizontal="right" vertical="center"/>
    </xf>
    <xf numFmtId="0" fontId="4" fillId="5" borderId="13" xfId="0" applyFont="1" applyFill="1" applyBorder="1" applyAlignment="1">
      <alignment indent="1"/>
    </xf>
    <xf numFmtId="0" fontId="0" fillId="0" borderId="13" xfId="0" applyBorder="1"/>
    <xf numFmtId="167" fontId="8" fillId="0" borderId="6" xfId="0" applyNumberFormat="1" applyFont="1" applyBorder="1" applyAlignment="1">
      <alignment horizontal="right" vertical="center"/>
    </xf>
    <xf numFmtId="0" fontId="11" fillId="4" borderId="0" xfId="0" applyFont="1" applyFill="1" applyAlignment="1">
      <alignment horizontal="right" vertical="center" indent="1"/>
    </xf>
    <xf numFmtId="0" fontId="8" fillId="0" borderId="6" xfId="0" applyFont="1" applyBorder="1" applyAlignment="1">
      <alignment vertical="center" indent="1"/>
    </xf>
    <xf numFmtId="167" fontId="1" fillId="5" borderId="0" xfId="0" applyNumberFormat="1" applyFont="1" applyFill="1" applyAlignment="1">
      <alignment horizontal="left" vertical="center" indent="1"/>
    </xf>
    <xf numFmtId="0" fontId="18" fillId="3" borderId="14" xfId="0" applyFont="1" applyFill="1" applyBorder="1" applyAlignment="1">
      <alignment vertical="center" wrapText="1" indent="1"/>
    </xf>
    <xf numFmtId="0" fontId="0" fillId="0" borderId="14" xfId="0" applyBorder="1"/>
    <xf numFmtId="0" fontId="5" fillId="0" borderId="0" xfId="0" applyFont="1" applyAlignment="1">
      <alignment vertical="top" wrapText="1"/>
    </xf>
    <xf numFmtId="0" fontId="7" fillId="0" borderId="6" xfId="0" applyFont="1" applyBorder="1" applyAlignment="1">
      <alignment vertical="center" indent="1"/>
    </xf>
    <xf numFmtId="0" fontId="1" fillId="5" borderId="0" xfId="0" applyFont="1" applyFill="1" applyAlignment="1">
      <alignment horizontal="left" vertical="center" indent="1"/>
    </xf>
    <xf numFmtId="0" fontId="6" fillId="0" borderId="3" xfId="0" applyFont="1" applyBorder="1"/>
    <xf numFmtId="0" fontId="0" fillId="0" borderId="3" xfId="0" applyBorder="1"/>
    <xf numFmtId="0" fontId="22" fillId="6" borderId="0" xfId="0" applyFont="1" applyFill="1" applyAlignment="1">
      <alignment vertical="center" wrapText="1" indent="1"/>
    </xf>
    <xf numFmtId="0" fontId="15" fillId="0" borderId="6" xfId="0" applyFont="1" applyBorder="1" applyAlignment="1">
      <alignment vertical="center" indent="1"/>
    </xf>
    <xf numFmtId="0" fontId="9" fillId="0" borderId="0" xfId="0" applyFont="1" applyAlignment="1">
      <alignment vertical="top" wrapText="1" indent="1"/>
    </xf>
  </cellXfs>
  <cellStyles count="1">
    <cellStyle name="Normal" xfId="0" builtinId="0"/>
  </cellStyles>
  <dxfs count="42">
    <dxf>
      <font>
        <color rgb="FFC9284A"/>
        <name val="Arial"/>
      </font>
    </dxf>
    <dxf>
      <font>
        <color rgb="FFC9284A"/>
        <name val="Arial"/>
      </font>
    </dxf>
    <dxf>
      <font>
        <b/>
        <color rgb="FFC9284A"/>
        <name val="Arial"/>
      </font>
      <fill>
        <patternFill patternType="solid">
          <fgColor rgb="FFFFE8ED"/>
          <bgColor rgb="FFFFE8ED"/>
        </patternFill>
      </fill>
    </dxf>
    <dxf>
      <font>
        <b/>
        <color rgb="FFC9284A"/>
        <name val="Arial"/>
      </font>
    </dxf>
    <dxf>
      <font>
        <b/>
        <color rgb="FF0F6B47"/>
        <name val="Arial"/>
      </font>
    </dxf>
    <dxf>
      <font>
        <b/>
        <color rgb="FF0F6B47"/>
        <name val="Arial"/>
      </font>
      <fill>
        <patternFill patternType="solid">
          <fgColor rgb="FFE2F7EC"/>
          <bgColor rgb="FFE2F7EC"/>
        </patternFill>
      </fill>
    </dxf>
    <dxf>
      <font>
        <b/>
        <color rgb="FFC9284A"/>
        <name val="Arial"/>
      </font>
      <fill>
        <patternFill patternType="solid">
          <fgColor rgb="FFFFE8ED"/>
          <bgColor rgb="FFFFE8ED"/>
        </patternFill>
      </fill>
    </dxf>
    <dxf>
      <font>
        <b/>
        <color rgb="FF0F6B47"/>
        <name val="Arial"/>
      </font>
      <fill>
        <patternFill patternType="solid">
          <fgColor rgb="FFE2F7EC"/>
          <bgColor rgb="FFE2F7EC"/>
        </patternFill>
      </fill>
    </dxf>
    <dxf>
      <font>
        <b/>
        <color rgb="FFC9284A"/>
        <name val="Arial"/>
      </font>
      <fill>
        <patternFill patternType="solid">
          <fgColor rgb="FFFFE8ED"/>
          <bgColor rgb="FFFFE8ED"/>
        </patternFill>
      </fill>
    </dxf>
    <dxf>
      <font>
        <b/>
        <color rgb="FFC9284A"/>
        <name val="Arial"/>
      </font>
      <fill>
        <patternFill patternType="solid">
          <fgColor rgb="FFFFE8ED"/>
          <bgColor rgb="FFFFE8ED"/>
        </patternFill>
      </fill>
    </dxf>
    <dxf>
      <font>
        <b/>
        <color rgb="FF076B69"/>
        <name val="Arial"/>
      </font>
      <fill>
        <patternFill patternType="solid">
          <fgColor rgb="FFE4FAF6"/>
          <bgColor rgb="FFE4FAF6"/>
        </patternFill>
      </fill>
    </dxf>
    <dxf>
      <font>
        <b/>
        <color rgb="FFC9284A"/>
        <name val="Arial"/>
      </font>
    </dxf>
    <dxf>
      <font>
        <b/>
        <color rgb="FF0F6B47"/>
        <name val="Arial"/>
      </font>
    </dxf>
    <dxf>
      <font>
        <b/>
        <color rgb="FFC9284A"/>
        <name val="Arial"/>
      </font>
    </dxf>
    <dxf>
      <font>
        <b/>
        <color rgb="FF0F6B47"/>
        <name val="Arial"/>
      </font>
    </dxf>
    <dxf>
      <font>
        <b/>
        <color rgb="FFC9284A"/>
        <name val="Arial"/>
      </font>
    </dxf>
    <dxf>
      <font>
        <b/>
        <color rgb="FFC9284A"/>
        <name val="Arial"/>
      </font>
    </dxf>
    <dxf>
      <font>
        <b/>
        <color rgb="FFC9284A"/>
        <name val="Arial"/>
      </font>
    </dxf>
    <dxf>
      <font>
        <b/>
        <color rgb="FF0B1220"/>
        <name val="Arial"/>
      </font>
      <fill>
        <patternFill patternType="solid">
          <fgColor rgb="FF1DD6C1"/>
          <bgColor rgb="FF1DD6C1"/>
        </patternFill>
      </fill>
    </dxf>
    <dxf>
      <font>
        <b/>
        <color rgb="FFFFFFFF"/>
        <name val="Arial"/>
      </font>
      <fill>
        <patternFill patternType="solid">
          <fgColor rgb="FFC9284A"/>
          <bgColor rgb="FFC9284A"/>
        </patternFill>
      </fill>
    </dxf>
    <dxf>
      <font>
        <b/>
        <color rgb="FF0B1220"/>
        <name val="Arial"/>
      </font>
      <fill>
        <patternFill patternType="solid">
          <fgColor rgb="FF1DD6C1"/>
          <bgColor rgb="FF1DD6C1"/>
        </patternFill>
      </fill>
    </dxf>
    <dxf>
      <font>
        <b/>
        <color rgb="FFFFFFFF"/>
        <name val="Arial"/>
      </font>
      <fill>
        <patternFill patternType="solid">
          <fgColor rgb="FFC9284A"/>
          <bgColor rgb="FFC9284A"/>
        </patternFill>
      </fill>
    </dxf>
    <dxf>
      <font>
        <b/>
        <color rgb="FF0B1220"/>
        <name val="Arial"/>
      </font>
      <fill>
        <patternFill patternType="solid">
          <fgColor rgb="FF1DD6C1"/>
          <bgColor rgb="FF1DD6C1"/>
        </patternFill>
      </fill>
    </dxf>
    <dxf>
      <font>
        <b/>
        <color rgb="FFFFFFFF"/>
        <name val="Arial"/>
      </font>
      <fill>
        <patternFill patternType="solid">
          <fgColor rgb="FFC9284A"/>
          <bgColor rgb="FFC9284A"/>
        </patternFill>
      </fill>
    </dxf>
    <dxf>
      <font>
        <b/>
        <color rgb="FFC9284A"/>
        <name val="Arial"/>
      </font>
    </dxf>
    <dxf>
      <font>
        <b/>
        <color rgb="FF0F6B47"/>
        <name val="Arial"/>
      </font>
    </dxf>
    <dxf>
      <font>
        <b/>
        <color rgb="FFC9284A"/>
        <name val="Arial"/>
      </font>
    </dxf>
    <dxf>
      <font>
        <b/>
        <color rgb="FFC9284A"/>
        <name val="Arial"/>
      </font>
    </dxf>
    <dxf>
      <font>
        <b/>
        <color rgb="FF0F6B47"/>
        <name val="Arial"/>
      </font>
    </dxf>
    <dxf>
      <font>
        <b/>
        <color rgb="FFC9284A"/>
        <name val="Arial"/>
      </font>
    </dxf>
    <dxf>
      <font>
        <b/>
        <color rgb="FFC9284A"/>
        <name val="Arial"/>
      </font>
    </dxf>
    <dxf>
      <font>
        <b/>
        <color rgb="FF0F6B47"/>
        <name val="Arial"/>
      </font>
    </dxf>
    <dxf>
      <font>
        <b/>
        <color rgb="FFC9284A"/>
        <name val="Arial"/>
      </font>
    </dxf>
    <dxf>
      <font>
        <b/>
        <color rgb="FFC9284A"/>
        <name val="Arial"/>
      </font>
    </dxf>
    <dxf>
      <fill>
        <patternFill patternType="solid">
          <fgColor rgb="FFFFF1D8"/>
          <bgColor rgb="FFFFF1D8"/>
        </patternFill>
      </fill>
    </dxf>
    <dxf>
      <fill>
        <patternFill patternType="solid">
          <fgColor rgb="FFFFE8ED"/>
          <bgColor rgb="FFFFE8ED"/>
        </patternFill>
      </fill>
    </dxf>
    <dxf>
      <font>
        <b/>
        <color rgb="FF0F6B47"/>
        <name val="Arial"/>
      </font>
    </dxf>
    <dxf>
      <font>
        <b/>
        <color rgb="FFC9284A"/>
        <name val="Arial"/>
      </font>
    </dxf>
    <dxf>
      <font>
        <b/>
        <color rgb="FFC9284A"/>
        <name val="Arial"/>
      </font>
      <fill>
        <patternFill patternType="solid">
          <fgColor rgb="FFFFE8ED"/>
          <bgColor rgb="FFFFE8ED"/>
        </patternFill>
      </fill>
    </dxf>
    <dxf>
      <font>
        <b/>
        <color rgb="FF0F6B47"/>
        <name val="Arial"/>
      </font>
      <fill>
        <patternFill patternType="solid">
          <fgColor rgb="FFE2F7EC"/>
          <bgColor rgb="FFE2F7EC"/>
        </patternFill>
      </fill>
    </dxf>
    <dxf>
      <font>
        <b/>
        <color rgb="FFC9284A"/>
        <name val="Arial"/>
      </font>
      <fill>
        <patternFill patternType="solid">
          <fgColor rgb="FFFFE8ED"/>
          <bgColor rgb="FFFFE8ED"/>
        </patternFill>
      </fill>
    </dxf>
    <dxf>
      <font>
        <b/>
        <color rgb="FF9A5B05"/>
        <name val="Arial"/>
      </font>
      <fill>
        <patternFill patternType="solid">
          <fgColor rgb="FFFFF1D8"/>
          <bgColor rgb="FFFFF1D8"/>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_tradnl"/>
  <c:roundedCorners val="1"/>
  <c:style val="2"/>
  <c:chart>
    <c:autoTitleDeleted val="1"/>
    <c:plotArea>
      <c:layout/>
      <c:lineChart>
        <c:grouping val="standard"/>
        <c:varyColors val="1"/>
        <c:ser>
          <c:idx val="0"/>
          <c:order val="0"/>
          <c:tx>
            <c:v>Socios a fin de mes</c:v>
          </c:tx>
          <c:spPr>
            <a:ln w="34925">
              <a:solidFill>
                <a:srgbClr val="1DD6C1"/>
              </a:solidFill>
              <a:prstDash val="solid"/>
            </a:ln>
          </c:spPr>
          <c:marker>
            <c:symbol val="none"/>
          </c:marker>
          <c:cat>
            <c:strRef>
              <c:f>'Punto de equilibrio'!$U$56:$U$91</c:f>
              <c:strCache>
                <c:ptCount val="36"/>
                <c:pt idx="0">
                  <c:v>sep 27</c:v>
                </c:pt>
                <c:pt idx="1">
                  <c:v>oct 27</c:v>
                </c:pt>
                <c:pt idx="2">
                  <c:v>nov 27</c:v>
                </c:pt>
                <c:pt idx="3">
                  <c:v>dic 27</c:v>
                </c:pt>
                <c:pt idx="4">
                  <c:v>ene 28</c:v>
                </c:pt>
                <c:pt idx="5">
                  <c:v>feb 28</c:v>
                </c:pt>
                <c:pt idx="6">
                  <c:v>mar 28</c:v>
                </c:pt>
                <c:pt idx="7">
                  <c:v>abr 28</c:v>
                </c:pt>
                <c:pt idx="8">
                  <c:v>may 28</c:v>
                </c:pt>
                <c:pt idx="9">
                  <c:v>jun 28</c:v>
                </c:pt>
                <c:pt idx="10">
                  <c:v>jul 28</c:v>
                </c:pt>
                <c:pt idx="11">
                  <c:v>ago 28</c:v>
                </c:pt>
                <c:pt idx="12">
                  <c:v>sep 28</c:v>
                </c:pt>
                <c:pt idx="13">
                  <c:v>oct 28</c:v>
                </c:pt>
                <c:pt idx="14">
                  <c:v>nov 28</c:v>
                </c:pt>
                <c:pt idx="15">
                  <c:v>dic 28</c:v>
                </c:pt>
                <c:pt idx="16">
                  <c:v>ene 29</c:v>
                </c:pt>
                <c:pt idx="17">
                  <c:v>feb 29</c:v>
                </c:pt>
                <c:pt idx="18">
                  <c:v>mar 29</c:v>
                </c:pt>
                <c:pt idx="19">
                  <c:v>abr 29</c:v>
                </c:pt>
                <c:pt idx="20">
                  <c:v>may 29</c:v>
                </c:pt>
                <c:pt idx="21">
                  <c:v>jun 29</c:v>
                </c:pt>
                <c:pt idx="22">
                  <c:v>jul 29</c:v>
                </c:pt>
                <c:pt idx="23">
                  <c:v>ago 29</c:v>
                </c:pt>
                <c:pt idx="24">
                  <c:v>sep 29</c:v>
                </c:pt>
                <c:pt idx="25">
                  <c:v>oct 29</c:v>
                </c:pt>
                <c:pt idx="26">
                  <c:v>nov 29</c:v>
                </c:pt>
                <c:pt idx="27">
                  <c:v>dic 29</c:v>
                </c:pt>
                <c:pt idx="28">
                  <c:v>ene 30</c:v>
                </c:pt>
                <c:pt idx="29">
                  <c:v>feb 30</c:v>
                </c:pt>
                <c:pt idx="30">
                  <c:v>mar 30</c:v>
                </c:pt>
                <c:pt idx="31">
                  <c:v>abr 30</c:v>
                </c:pt>
                <c:pt idx="32">
                  <c:v>may 30</c:v>
                </c:pt>
                <c:pt idx="33">
                  <c:v>jun 30</c:v>
                </c:pt>
                <c:pt idx="34">
                  <c:v>jul 30</c:v>
                </c:pt>
                <c:pt idx="35">
                  <c:v>ago 30</c:v>
                </c:pt>
              </c:strCache>
            </c:strRef>
          </c:cat>
          <c:val>
            <c:numRef>
              <c:f>'Punto de equilibrio'!$C$56:$C$91</c:f>
              <c:numCache>
                <c:formatCode>#,##0;\-#,##0;"–"</c:formatCode>
                <c:ptCount val="36"/>
                <c:pt idx="0">
                  <c:v>225</c:v>
                </c:pt>
                <c:pt idx="1">
                  <c:v>271</c:v>
                </c:pt>
                <c:pt idx="2">
                  <c:v>300</c:v>
                </c:pt>
                <c:pt idx="3">
                  <c:v>313</c:v>
                </c:pt>
                <c:pt idx="4">
                  <c:v>360</c:v>
                </c:pt>
                <c:pt idx="5">
                  <c:v>386</c:v>
                </c:pt>
                <c:pt idx="6">
                  <c:v>406</c:v>
                </c:pt>
                <c:pt idx="7">
                  <c:v>420</c:v>
                </c:pt>
                <c:pt idx="8">
                  <c:v>433</c:v>
                </c:pt>
                <c:pt idx="9">
                  <c:v>438</c:v>
                </c:pt>
                <c:pt idx="10">
                  <c:v>435</c:v>
                </c:pt>
                <c:pt idx="11">
                  <c:v>430</c:v>
                </c:pt>
                <c:pt idx="12">
                  <c:v>483</c:v>
                </c:pt>
                <c:pt idx="13">
                  <c:v>515</c:v>
                </c:pt>
                <c:pt idx="14">
                  <c:v>531</c:v>
                </c:pt>
                <c:pt idx="15">
                  <c:v>533</c:v>
                </c:pt>
                <c:pt idx="16">
                  <c:v>568</c:v>
                </c:pt>
                <c:pt idx="17">
                  <c:v>582</c:v>
                </c:pt>
                <c:pt idx="18">
                  <c:v>592</c:v>
                </c:pt>
                <c:pt idx="19">
                  <c:v>596</c:v>
                </c:pt>
                <c:pt idx="20">
                  <c:v>600</c:v>
                </c:pt>
                <c:pt idx="21">
                  <c:v>596</c:v>
                </c:pt>
                <c:pt idx="22">
                  <c:v>586</c:v>
                </c:pt>
                <c:pt idx="23">
                  <c:v>574</c:v>
                </c:pt>
                <c:pt idx="24">
                  <c:v>613</c:v>
                </c:pt>
                <c:pt idx="25">
                  <c:v>633</c:v>
                </c:pt>
                <c:pt idx="26">
                  <c:v>641</c:v>
                </c:pt>
                <c:pt idx="27">
                  <c:v>636</c:v>
                </c:pt>
                <c:pt idx="28">
                  <c:v>660</c:v>
                </c:pt>
                <c:pt idx="29">
                  <c:v>667</c:v>
                </c:pt>
                <c:pt idx="30">
                  <c:v>669</c:v>
                </c:pt>
                <c:pt idx="31">
                  <c:v>667</c:v>
                </c:pt>
                <c:pt idx="32">
                  <c:v>665</c:v>
                </c:pt>
                <c:pt idx="33">
                  <c:v>656</c:v>
                </c:pt>
                <c:pt idx="34">
                  <c:v>642</c:v>
                </c:pt>
                <c:pt idx="35">
                  <c:v>626</c:v>
                </c:pt>
              </c:numCache>
            </c:numRef>
          </c:val>
          <c:smooth val="0"/>
          <c:extLst>
            <c:ext xmlns:c16="http://schemas.microsoft.com/office/drawing/2014/chart" uri="{C3380CC4-5D6E-409C-BE32-E72D297353CC}">
              <c16:uniqueId val="{00000000-2E48-4D4E-A531-E7191CB5635E}"/>
            </c:ext>
          </c:extLst>
        </c:ser>
        <c:ser>
          <c:idx val="1"/>
          <c:order val="1"/>
          <c:tx>
            <c:v>Socios para cubrir gastos</c:v>
          </c:tx>
          <c:spPr>
            <a:ln w="19050">
              <a:solidFill>
                <a:srgbClr val="C9284A"/>
              </a:solidFill>
              <a:prstDash val="dash"/>
            </a:ln>
          </c:spPr>
          <c:marker>
            <c:symbol val="none"/>
          </c:marker>
          <c:cat>
            <c:strRef>
              <c:f>'Punto de equilibrio'!$U$56:$U$91</c:f>
              <c:strCache>
                <c:ptCount val="36"/>
                <c:pt idx="0">
                  <c:v>sep 27</c:v>
                </c:pt>
                <c:pt idx="1">
                  <c:v>oct 27</c:v>
                </c:pt>
                <c:pt idx="2">
                  <c:v>nov 27</c:v>
                </c:pt>
                <c:pt idx="3">
                  <c:v>dic 27</c:v>
                </c:pt>
                <c:pt idx="4">
                  <c:v>ene 28</c:v>
                </c:pt>
                <c:pt idx="5">
                  <c:v>feb 28</c:v>
                </c:pt>
                <c:pt idx="6">
                  <c:v>mar 28</c:v>
                </c:pt>
                <c:pt idx="7">
                  <c:v>abr 28</c:v>
                </c:pt>
                <c:pt idx="8">
                  <c:v>may 28</c:v>
                </c:pt>
                <c:pt idx="9">
                  <c:v>jun 28</c:v>
                </c:pt>
                <c:pt idx="10">
                  <c:v>jul 28</c:v>
                </c:pt>
                <c:pt idx="11">
                  <c:v>ago 28</c:v>
                </c:pt>
                <c:pt idx="12">
                  <c:v>sep 28</c:v>
                </c:pt>
                <c:pt idx="13">
                  <c:v>oct 28</c:v>
                </c:pt>
                <c:pt idx="14">
                  <c:v>nov 28</c:v>
                </c:pt>
                <c:pt idx="15">
                  <c:v>dic 28</c:v>
                </c:pt>
                <c:pt idx="16">
                  <c:v>ene 29</c:v>
                </c:pt>
                <c:pt idx="17">
                  <c:v>feb 29</c:v>
                </c:pt>
                <c:pt idx="18">
                  <c:v>mar 29</c:v>
                </c:pt>
                <c:pt idx="19">
                  <c:v>abr 29</c:v>
                </c:pt>
                <c:pt idx="20">
                  <c:v>may 29</c:v>
                </c:pt>
                <c:pt idx="21">
                  <c:v>jun 29</c:v>
                </c:pt>
                <c:pt idx="22">
                  <c:v>jul 29</c:v>
                </c:pt>
                <c:pt idx="23">
                  <c:v>ago 29</c:v>
                </c:pt>
                <c:pt idx="24">
                  <c:v>sep 29</c:v>
                </c:pt>
                <c:pt idx="25">
                  <c:v>oct 29</c:v>
                </c:pt>
                <c:pt idx="26">
                  <c:v>nov 29</c:v>
                </c:pt>
                <c:pt idx="27">
                  <c:v>dic 29</c:v>
                </c:pt>
                <c:pt idx="28">
                  <c:v>ene 30</c:v>
                </c:pt>
                <c:pt idx="29">
                  <c:v>feb 30</c:v>
                </c:pt>
                <c:pt idx="30">
                  <c:v>mar 30</c:v>
                </c:pt>
                <c:pt idx="31">
                  <c:v>abr 30</c:v>
                </c:pt>
                <c:pt idx="32">
                  <c:v>may 30</c:v>
                </c:pt>
                <c:pt idx="33">
                  <c:v>jun 30</c:v>
                </c:pt>
                <c:pt idx="34">
                  <c:v>jul 30</c:v>
                </c:pt>
                <c:pt idx="35">
                  <c:v>ago 30</c:v>
                </c:pt>
              </c:strCache>
            </c:strRef>
          </c:cat>
          <c:val>
            <c:numRef>
              <c:f>'Punto de equilibrio'!$D$56:$D$91</c:f>
              <c:numCache>
                <c:formatCode>#,##0;\-#,##0;"–"</c:formatCode>
                <c:ptCount val="36"/>
                <c:pt idx="0">
                  <c:v>445</c:v>
                </c:pt>
                <c:pt idx="1">
                  <c:v>445</c:v>
                </c:pt>
                <c:pt idx="2">
                  <c:v>445</c:v>
                </c:pt>
                <c:pt idx="3">
                  <c:v>445</c:v>
                </c:pt>
                <c:pt idx="4">
                  <c:v>445</c:v>
                </c:pt>
                <c:pt idx="5">
                  <c:v>445</c:v>
                </c:pt>
                <c:pt idx="6">
                  <c:v>445</c:v>
                </c:pt>
                <c:pt idx="7">
                  <c:v>445</c:v>
                </c:pt>
                <c:pt idx="8">
                  <c:v>445</c:v>
                </c:pt>
                <c:pt idx="9">
                  <c:v>445</c:v>
                </c:pt>
                <c:pt idx="10">
                  <c:v>445</c:v>
                </c:pt>
                <c:pt idx="11">
                  <c:v>445</c:v>
                </c:pt>
                <c:pt idx="12">
                  <c:v>447</c:v>
                </c:pt>
                <c:pt idx="13">
                  <c:v>447</c:v>
                </c:pt>
                <c:pt idx="14">
                  <c:v>447</c:v>
                </c:pt>
                <c:pt idx="15">
                  <c:v>447</c:v>
                </c:pt>
                <c:pt idx="16">
                  <c:v>447</c:v>
                </c:pt>
                <c:pt idx="17">
                  <c:v>447</c:v>
                </c:pt>
                <c:pt idx="18">
                  <c:v>447</c:v>
                </c:pt>
                <c:pt idx="19">
                  <c:v>447</c:v>
                </c:pt>
                <c:pt idx="20">
                  <c:v>447</c:v>
                </c:pt>
                <c:pt idx="21">
                  <c:v>447</c:v>
                </c:pt>
                <c:pt idx="22">
                  <c:v>447</c:v>
                </c:pt>
                <c:pt idx="23">
                  <c:v>447</c:v>
                </c:pt>
                <c:pt idx="24">
                  <c:v>449</c:v>
                </c:pt>
                <c:pt idx="25">
                  <c:v>449</c:v>
                </c:pt>
                <c:pt idx="26">
                  <c:v>449</c:v>
                </c:pt>
                <c:pt idx="27">
                  <c:v>449</c:v>
                </c:pt>
                <c:pt idx="28">
                  <c:v>449</c:v>
                </c:pt>
                <c:pt idx="29">
                  <c:v>449</c:v>
                </c:pt>
                <c:pt idx="30">
                  <c:v>449</c:v>
                </c:pt>
                <c:pt idx="31">
                  <c:v>449</c:v>
                </c:pt>
                <c:pt idx="32">
                  <c:v>449</c:v>
                </c:pt>
                <c:pt idx="33">
                  <c:v>449</c:v>
                </c:pt>
                <c:pt idx="34">
                  <c:v>449</c:v>
                </c:pt>
                <c:pt idx="35">
                  <c:v>449</c:v>
                </c:pt>
              </c:numCache>
            </c:numRef>
          </c:val>
          <c:smooth val="0"/>
          <c:extLst>
            <c:ext xmlns:c16="http://schemas.microsoft.com/office/drawing/2014/chart" uri="{C3380CC4-5D6E-409C-BE32-E72D297353CC}">
              <c16:uniqueId val="{00000001-2E48-4D4E-A531-E7191CB5635E}"/>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1"/>
        <c:majorTickMark val="none"/>
        <c:minorTickMark val="none"/>
        <c:tickLblPos val="nextTo"/>
        <c:spPr>
          <a:ln w="9525">
            <a:solidFill>
              <a:srgbClr val="C9D2DE"/>
            </a:solidFill>
            <a:prstDash val="solid"/>
          </a:ln>
        </c:spPr>
        <c:txPr>
          <a:bodyPr/>
          <a:lstStyle/>
          <a:p>
            <a:pPr>
              <a:defRPr sz="750" b="0">
                <a:solidFill>
                  <a:srgbClr val="5C697D"/>
                </a:solidFill>
                <a:latin typeface="Arial"/>
              </a:defRPr>
            </a:pPr>
            <a:endParaRPr lang="es-ES"/>
          </a:p>
        </c:txPr>
        <c:crossAx val="100"/>
        <c:crosses val="autoZero"/>
        <c:auto val="1"/>
        <c:lblAlgn val="ctr"/>
        <c:lblOffset val="100"/>
        <c:tickLblSkip val="3"/>
        <c:tickMarkSkip val="3"/>
        <c:noMultiLvlLbl val="1"/>
      </c:catAx>
      <c:valAx>
        <c:axId val="100"/>
        <c:scaling>
          <c:orientation val="minMax"/>
        </c:scaling>
        <c:delete val="0"/>
        <c:axPos val="l"/>
        <c:majorGridlines>
          <c:spPr>
            <a:ln w="6350">
              <a:solidFill>
                <a:srgbClr val="E3E9F0"/>
              </a:solidFill>
              <a:prstDash val="solid"/>
            </a:ln>
          </c:spPr>
        </c:majorGridlines>
        <c:numFmt formatCode="#,##0" sourceLinked="0"/>
        <c:majorTickMark val="none"/>
        <c:minorTickMark val="none"/>
        <c:tickLblPos val="nextTo"/>
        <c:spPr>
          <a:ln>
            <a:noFill/>
            <a:prstDash val="solid"/>
          </a:ln>
        </c:spPr>
        <c:txPr>
          <a:bodyPr/>
          <a:lstStyle/>
          <a:p>
            <a:pPr>
              <a:defRPr sz="750" b="0">
                <a:solidFill>
                  <a:srgbClr val="5C697D"/>
                </a:solidFill>
                <a:latin typeface="Arial"/>
              </a:defRPr>
            </a:pPr>
            <a:endParaRPr lang="es-ES"/>
          </a:p>
        </c:txPr>
        <c:crossAx val="10"/>
        <c:crosses val="autoZero"/>
        <c:crossBetween val="between"/>
      </c:valAx>
    </c:plotArea>
    <c:legend>
      <c:legendPos val="t"/>
      <c:overlay val="0"/>
      <c:txPr>
        <a:bodyPr/>
        <a:lstStyle/>
        <a:p>
          <a:pPr>
            <a:defRPr sz="800" b="0">
              <a:solidFill>
                <a:srgbClr val="4B586B"/>
              </a:solidFill>
              <a:latin typeface="Arial"/>
            </a:defRPr>
          </a:pPr>
          <a:endParaRPr lang="es-ES"/>
        </a:p>
      </c:txPr>
    </c:legend>
    <c:plotVisOnly val="0"/>
    <c:dispBlanksAs val="gap"/>
    <c:showDLblsOverMax val="1"/>
  </c:chart>
  <c:spPr>
    <a:ln>
      <a:no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_tradnl"/>
  <c:roundedCorners val="1"/>
  <c:style val="2"/>
  <c:chart>
    <c:autoTitleDeleted val="1"/>
    <c:plotArea>
      <c:layout/>
      <c:lineChart>
        <c:grouping val="standard"/>
        <c:varyColors val="1"/>
        <c:ser>
          <c:idx val="0"/>
          <c:order val="0"/>
          <c:tx>
            <c:v>Ingresos</c:v>
          </c:tx>
          <c:spPr>
            <a:ln w="28575">
              <a:solidFill>
                <a:srgbClr val="1DD6C1"/>
              </a:solidFill>
              <a:prstDash val="solid"/>
            </a:ln>
          </c:spPr>
          <c:marker>
            <c:symbol val="none"/>
          </c:marker>
          <c:cat>
            <c:strRef>
              <c:f>'Punto de equilibrio'!$U$56:$U$91</c:f>
              <c:strCache>
                <c:ptCount val="36"/>
                <c:pt idx="0">
                  <c:v>sep 27</c:v>
                </c:pt>
                <c:pt idx="1">
                  <c:v>oct 27</c:v>
                </c:pt>
                <c:pt idx="2">
                  <c:v>nov 27</c:v>
                </c:pt>
                <c:pt idx="3">
                  <c:v>dic 27</c:v>
                </c:pt>
                <c:pt idx="4">
                  <c:v>ene 28</c:v>
                </c:pt>
                <c:pt idx="5">
                  <c:v>feb 28</c:v>
                </c:pt>
                <c:pt idx="6">
                  <c:v>mar 28</c:v>
                </c:pt>
                <c:pt idx="7">
                  <c:v>abr 28</c:v>
                </c:pt>
                <c:pt idx="8">
                  <c:v>may 28</c:v>
                </c:pt>
                <c:pt idx="9">
                  <c:v>jun 28</c:v>
                </c:pt>
                <c:pt idx="10">
                  <c:v>jul 28</c:v>
                </c:pt>
                <c:pt idx="11">
                  <c:v>ago 28</c:v>
                </c:pt>
                <c:pt idx="12">
                  <c:v>sep 28</c:v>
                </c:pt>
                <c:pt idx="13">
                  <c:v>oct 28</c:v>
                </c:pt>
                <c:pt idx="14">
                  <c:v>nov 28</c:v>
                </c:pt>
                <c:pt idx="15">
                  <c:v>dic 28</c:v>
                </c:pt>
                <c:pt idx="16">
                  <c:v>ene 29</c:v>
                </c:pt>
                <c:pt idx="17">
                  <c:v>feb 29</c:v>
                </c:pt>
                <c:pt idx="18">
                  <c:v>mar 29</c:v>
                </c:pt>
                <c:pt idx="19">
                  <c:v>abr 29</c:v>
                </c:pt>
                <c:pt idx="20">
                  <c:v>may 29</c:v>
                </c:pt>
                <c:pt idx="21">
                  <c:v>jun 29</c:v>
                </c:pt>
                <c:pt idx="22">
                  <c:v>jul 29</c:v>
                </c:pt>
                <c:pt idx="23">
                  <c:v>ago 29</c:v>
                </c:pt>
                <c:pt idx="24">
                  <c:v>sep 29</c:v>
                </c:pt>
                <c:pt idx="25">
                  <c:v>oct 29</c:v>
                </c:pt>
                <c:pt idx="26">
                  <c:v>nov 29</c:v>
                </c:pt>
                <c:pt idx="27">
                  <c:v>dic 29</c:v>
                </c:pt>
                <c:pt idx="28">
                  <c:v>ene 30</c:v>
                </c:pt>
                <c:pt idx="29">
                  <c:v>feb 30</c:v>
                </c:pt>
                <c:pt idx="30">
                  <c:v>mar 30</c:v>
                </c:pt>
                <c:pt idx="31">
                  <c:v>abr 30</c:v>
                </c:pt>
                <c:pt idx="32">
                  <c:v>may 30</c:v>
                </c:pt>
                <c:pt idx="33">
                  <c:v>jun 30</c:v>
                </c:pt>
                <c:pt idx="34">
                  <c:v>jul 30</c:v>
                </c:pt>
                <c:pt idx="35">
                  <c:v>ago 30</c:v>
                </c:pt>
              </c:strCache>
            </c:strRef>
          </c:cat>
          <c:val>
            <c:numRef>
              <c:f>'Punto de equilibrio'!$E$56:$E$91</c:f>
              <c:numCache>
                <c:formatCode>#,##0\ "€";\-#,##0\ "€";"–"</c:formatCode>
                <c:ptCount val="36"/>
                <c:pt idx="0">
                  <c:v>14003.099999999999</c:v>
                </c:pt>
                <c:pt idx="1">
                  <c:v>12545.955999999998</c:v>
                </c:pt>
                <c:pt idx="2">
                  <c:v>13470.8</c:v>
                </c:pt>
                <c:pt idx="3">
                  <c:v>13719.867999999999</c:v>
                </c:pt>
                <c:pt idx="4">
                  <c:v>16404.96</c:v>
                </c:pt>
                <c:pt idx="5">
                  <c:v>17103.095999999998</c:v>
                </c:pt>
                <c:pt idx="6">
                  <c:v>17847.815999999999</c:v>
                </c:pt>
                <c:pt idx="7">
                  <c:v>18339.12</c:v>
                </c:pt>
                <c:pt idx="8">
                  <c:v>18888.187999999998</c:v>
                </c:pt>
                <c:pt idx="9">
                  <c:v>18939.367999999999</c:v>
                </c:pt>
                <c:pt idx="10">
                  <c:v>18672.659999999996</c:v>
                </c:pt>
                <c:pt idx="11">
                  <c:v>18401.48</c:v>
                </c:pt>
                <c:pt idx="12">
                  <c:v>22344.987699999994</c:v>
                </c:pt>
                <c:pt idx="13">
                  <c:v>23340.828499999996</c:v>
                </c:pt>
                <c:pt idx="14">
                  <c:v>23746.498899999999</c:v>
                </c:pt>
                <c:pt idx="15">
                  <c:v>23546.082699999992</c:v>
                </c:pt>
                <c:pt idx="16">
                  <c:v>25737.799199999994</c:v>
                </c:pt>
                <c:pt idx="17">
                  <c:v>25954.385799999996</c:v>
                </c:pt>
                <c:pt idx="18">
                  <c:v>26305.304799999998</c:v>
                </c:pt>
                <c:pt idx="19">
                  <c:v>26375.972399999999</c:v>
                </c:pt>
                <c:pt idx="20">
                  <c:v>26549.139999999996</c:v>
                </c:pt>
                <c:pt idx="21">
                  <c:v>26211.972399999999</c:v>
                </c:pt>
                <c:pt idx="22">
                  <c:v>25656.053399999997</c:v>
                </c:pt>
                <c:pt idx="23">
                  <c:v>25075.050599999999</c:v>
                </c:pt>
                <c:pt idx="24">
                  <c:v>28504.158067499997</c:v>
                </c:pt>
                <c:pt idx="25">
                  <c:v>29034.429517499997</c:v>
                </c:pt>
                <c:pt idx="26">
                  <c:v>29137.273097499994</c:v>
                </c:pt>
                <c:pt idx="27">
                  <c:v>28663.252109999998</c:v>
                </c:pt>
                <c:pt idx="28">
                  <c:v>30316.582849999995</c:v>
                </c:pt>
                <c:pt idx="29">
                  <c:v>30291.002232499992</c:v>
                </c:pt>
                <c:pt idx="30">
                  <c:v>30295.700627499995</c:v>
                </c:pt>
                <c:pt idx="31">
                  <c:v>30122.902232499993</c:v>
                </c:pt>
                <c:pt idx="32">
                  <c:v>30034.153837499998</c:v>
                </c:pt>
                <c:pt idx="33">
                  <c:v>29487.698559999993</c:v>
                </c:pt>
                <c:pt idx="34">
                  <c:v>28740.384794999998</c:v>
                </c:pt>
                <c:pt idx="35">
                  <c:v>27988.372634999996</c:v>
                </c:pt>
              </c:numCache>
            </c:numRef>
          </c:val>
          <c:smooth val="0"/>
          <c:extLst>
            <c:ext xmlns:c16="http://schemas.microsoft.com/office/drawing/2014/chart" uri="{C3380CC4-5D6E-409C-BE32-E72D297353CC}">
              <c16:uniqueId val="{00000000-3EC7-6E49-BDA1-26F97B312CDB}"/>
            </c:ext>
          </c:extLst>
        </c:ser>
        <c:ser>
          <c:idx val="1"/>
          <c:order val="1"/>
          <c:tx>
            <c:v>Gastos</c:v>
          </c:tx>
          <c:spPr>
            <a:ln w="22225">
              <a:solidFill>
                <a:srgbClr val="0A0E15"/>
              </a:solidFill>
              <a:prstDash val="solid"/>
            </a:ln>
          </c:spPr>
          <c:marker>
            <c:symbol val="none"/>
          </c:marker>
          <c:cat>
            <c:strRef>
              <c:f>'Punto de equilibrio'!$U$56:$U$91</c:f>
              <c:strCache>
                <c:ptCount val="36"/>
                <c:pt idx="0">
                  <c:v>sep 27</c:v>
                </c:pt>
                <c:pt idx="1">
                  <c:v>oct 27</c:v>
                </c:pt>
                <c:pt idx="2">
                  <c:v>nov 27</c:v>
                </c:pt>
                <c:pt idx="3">
                  <c:v>dic 27</c:v>
                </c:pt>
                <c:pt idx="4">
                  <c:v>ene 28</c:v>
                </c:pt>
                <c:pt idx="5">
                  <c:v>feb 28</c:v>
                </c:pt>
                <c:pt idx="6">
                  <c:v>mar 28</c:v>
                </c:pt>
                <c:pt idx="7">
                  <c:v>abr 28</c:v>
                </c:pt>
                <c:pt idx="8">
                  <c:v>may 28</c:v>
                </c:pt>
                <c:pt idx="9">
                  <c:v>jun 28</c:v>
                </c:pt>
                <c:pt idx="10">
                  <c:v>jul 28</c:v>
                </c:pt>
                <c:pt idx="11">
                  <c:v>ago 28</c:v>
                </c:pt>
                <c:pt idx="12">
                  <c:v>sep 28</c:v>
                </c:pt>
                <c:pt idx="13">
                  <c:v>oct 28</c:v>
                </c:pt>
                <c:pt idx="14">
                  <c:v>nov 28</c:v>
                </c:pt>
                <c:pt idx="15">
                  <c:v>dic 28</c:v>
                </c:pt>
                <c:pt idx="16">
                  <c:v>ene 29</c:v>
                </c:pt>
                <c:pt idx="17">
                  <c:v>feb 29</c:v>
                </c:pt>
                <c:pt idx="18">
                  <c:v>mar 29</c:v>
                </c:pt>
                <c:pt idx="19">
                  <c:v>abr 29</c:v>
                </c:pt>
                <c:pt idx="20">
                  <c:v>may 29</c:v>
                </c:pt>
                <c:pt idx="21">
                  <c:v>jun 29</c:v>
                </c:pt>
                <c:pt idx="22">
                  <c:v>jul 29</c:v>
                </c:pt>
                <c:pt idx="23">
                  <c:v>ago 29</c:v>
                </c:pt>
                <c:pt idx="24">
                  <c:v>sep 29</c:v>
                </c:pt>
                <c:pt idx="25">
                  <c:v>oct 29</c:v>
                </c:pt>
                <c:pt idx="26">
                  <c:v>nov 29</c:v>
                </c:pt>
                <c:pt idx="27">
                  <c:v>dic 29</c:v>
                </c:pt>
                <c:pt idx="28">
                  <c:v>ene 30</c:v>
                </c:pt>
                <c:pt idx="29">
                  <c:v>feb 30</c:v>
                </c:pt>
                <c:pt idx="30">
                  <c:v>mar 30</c:v>
                </c:pt>
                <c:pt idx="31">
                  <c:v>abr 30</c:v>
                </c:pt>
                <c:pt idx="32">
                  <c:v>may 30</c:v>
                </c:pt>
                <c:pt idx="33">
                  <c:v>jun 30</c:v>
                </c:pt>
                <c:pt idx="34">
                  <c:v>jul 30</c:v>
                </c:pt>
                <c:pt idx="35">
                  <c:v>ago 30</c:v>
                </c:pt>
              </c:strCache>
            </c:strRef>
          </c:cat>
          <c:val>
            <c:numRef>
              <c:f>'Punto de equilibrio'!$F$56:$F$91</c:f>
              <c:numCache>
                <c:formatCode>#,##0\ "€";\-#,##0\ "€";"–"</c:formatCode>
                <c:ptCount val="36"/>
                <c:pt idx="0">
                  <c:v>18116.787199999999</c:v>
                </c:pt>
                <c:pt idx="1">
                  <c:v>18225.801471999999</c:v>
                </c:pt>
                <c:pt idx="2">
                  <c:v>18316.649600000001</c:v>
                </c:pt>
                <c:pt idx="3">
                  <c:v>18355.388416000002</c:v>
                </c:pt>
                <c:pt idx="4">
                  <c:v>18516.859519999998</c:v>
                </c:pt>
                <c:pt idx="5">
                  <c:v>18596.737152000002</c:v>
                </c:pt>
                <c:pt idx="6">
                  <c:v>18660.673792000001</c:v>
                </c:pt>
                <c:pt idx="7">
                  <c:v>18705.069439999999</c:v>
                </c:pt>
                <c:pt idx="8">
                  <c:v>18747.408255999999</c:v>
                </c:pt>
                <c:pt idx="9">
                  <c:v>18761.772416</c:v>
                </c:pt>
                <c:pt idx="10">
                  <c:v>18750.321919999998</c:v>
                </c:pt>
                <c:pt idx="11">
                  <c:v>18733.317759999998</c:v>
                </c:pt>
                <c:pt idx="12">
                  <c:v>19479.4961024</c:v>
                </c:pt>
                <c:pt idx="13">
                  <c:v>19581.646192</c:v>
                </c:pt>
                <c:pt idx="14">
                  <c:v>19631.6142368</c:v>
                </c:pt>
                <c:pt idx="15">
                  <c:v>19634.846742400001</c:v>
                </c:pt>
                <c:pt idx="16">
                  <c:v>19759.803590400003</c:v>
                </c:pt>
                <c:pt idx="17">
                  <c:v>19801.865129600003</c:v>
                </c:pt>
                <c:pt idx="18">
                  <c:v>19834.2636576</c:v>
                </c:pt>
                <c:pt idx="19">
                  <c:v>19846.386668800002</c:v>
                </c:pt>
                <c:pt idx="20">
                  <c:v>19859.739680000002</c:v>
                </c:pt>
                <c:pt idx="21">
                  <c:v>19844.418668800001</c:v>
                </c:pt>
                <c:pt idx="22">
                  <c:v>19809.5601408</c:v>
                </c:pt>
                <c:pt idx="23">
                  <c:v>19768.7631072</c:v>
                </c:pt>
                <c:pt idx="24">
                  <c:v>20498.537990560006</c:v>
                </c:pt>
                <c:pt idx="25">
                  <c:v>20562.685622960005</c:v>
                </c:pt>
                <c:pt idx="26">
                  <c:v>20587.033495920004</c:v>
                </c:pt>
                <c:pt idx="27">
                  <c:v>20566.899150320005</c:v>
                </c:pt>
                <c:pt idx="28">
                  <c:v>20656.080369200004</c:v>
                </c:pt>
                <c:pt idx="29">
                  <c:v>20675.997933040006</c:v>
                </c:pt>
                <c:pt idx="30">
                  <c:v>20681.832751280002</c:v>
                </c:pt>
                <c:pt idx="31">
                  <c:v>20673.980733040004</c:v>
                </c:pt>
                <c:pt idx="32">
                  <c:v>20667.137314800006</c:v>
                </c:pt>
                <c:pt idx="33">
                  <c:v>20634.576882720005</c:v>
                </c:pt>
                <c:pt idx="34">
                  <c:v>20585.160055040003</c:v>
                </c:pt>
                <c:pt idx="35">
                  <c:v>20529.908409120006</c:v>
                </c:pt>
              </c:numCache>
            </c:numRef>
          </c:val>
          <c:smooth val="0"/>
          <c:extLst>
            <c:ext xmlns:c16="http://schemas.microsoft.com/office/drawing/2014/chart" uri="{C3380CC4-5D6E-409C-BE32-E72D297353CC}">
              <c16:uniqueId val="{00000001-3EC7-6E49-BDA1-26F97B312CDB}"/>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1"/>
        <c:majorTickMark val="none"/>
        <c:minorTickMark val="none"/>
        <c:tickLblPos val="nextTo"/>
        <c:spPr>
          <a:ln w="9525">
            <a:solidFill>
              <a:srgbClr val="C9D2DE"/>
            </a:solidFill>
            <a:prstDash val="solid"/>
          </a:ln>
        </c:spPr>
        <c:txPr>
          <a:bodyPr/>
          <a:lstStyle/>
          <a:p>
            <a:pPr>
              <a:defRPr sz="750" b="0">
                <a:solidFill>
                  <a:srgbClr val="5C697D"/>
                </a:solidFill>
                <a:latin typeface="Arial"/>
              </a:defRPr>
            </a:pPr>
            <a:endParaRPr lang="es-ES"/>
          </a:p>
        </c:txPr>
        <c:crossAx val="100"/>
        <c:crosses val="autoZero"/>
        <c:auto val="1"/>
        <c:lblAlgn val="ctr"/>
        <c:lblOffset val="100"/>
        <c:tickLblSkip val="6"/>
        <c:tickMarkSkip val="6"/>
        <c:noMultiLvlLbl val="1"/>
      </c:catAx>
      <c:valAx>
        <c:axId val="100"/>
        <c:scaling>
          <c:orientation val="minMax"/>
        </c:scaling>
        <c:delete val="0"/>
        <c:axPos val="l"/>
        <c:majorGridlines>
          <c:spPr>
            <a:ln w="6350">
              <a:solidFill>
                <a:srgbClr val="E3E9F0"/>
              </a:solidFill>
              <a:prstDash val="solid"/>
            </a:ln>
          </c:spPr>
        </c:majorGridlines>
        <c:numFmt formatCode="#,##0&quot; €&quot;" sourceLinked="0"/>
        <c:majorTickMark val="none"/>
        <c:minorTickMark val="none"/>
        <c:tickLblPos val="nextTo"/>
        <c:spPr>
          <a:ln>
            <a:noFill/>
            <a:prstDash val="solid"/>
          </a:ln>
        </c:spPr>
        <c:txPr>
          <a:bodyPr/>
          <a:lstStyle/>
          <a:p>
            <a:pPr>
              <a:defRPr sz="750" b="0">
                <a:solidFill>
                  <a:srgbClr val="5C697D"/>
                </a:solidFill>
                <a:latin typeface="Arial"/>
              </a:defRPr>
            </a:pPr>
            <a:endParaRPr lang="es-ES"/>
          </a:p>
        </c:txPr>
        <c:crossAx val="10"/>
        <c:crosses val="autoZero"/>
        <c:crossBetween val="between"/>
      </c:valAx>
    </c:plotArea>
    <c:legend>
      <c:legendPos val="t"/>
      <c:overlay val="0"/>
      <c:txPr>
        <a:bodyPr/>
        <a:lstStyle/>
        <a:p>
          <a:pPr>
            <a:defRPr sz="800" b="0">
              <a:solidFill>
                <a:srgbClr val="4B586B"/>
              </a:solidFill>
              <a:latin typeface="Arial"/>
            </a:defRPr>
          </a:pPr>
          <a:endParaRPr lang="es-ES"/>
        </a:p>
      </c:txPr>
    </c:legend>
    <c:plotVisOnly val="0"/>
    <c:dispBlanksAs val="gap"/>
    <c:showDLblsOverMax val="1"/>
  </c:chart>
  <c:spPr>
    <a:ln>
      <a:no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_tradnl"/>
  <c:roundedCorners val="1"/>
  <c:style val="2"/>
  <c:chart>
    <c:autoTitleDeleted val="1"/>
    <c:plotArea>
      <c:layout/>
      <c:barChart>
        <c:barDir val="col"/>
        <c:grouping val="stacked"/>
        <c:varyColors val="1"/>
        <c:ser>
          <c:idx val="0"/>
          <c:order val="0"/>
          <c:tx>
            <c:v>Caja positiva</c:v>
          </c:tx>
          <c:spPr>
            <a:solidFill>
              <a:srgbClr val="1DD6C1"/>
            </a:solidFill>
            <a:ln>
              <a:solidFill>
                <a:srgbClr val="1DD6C1"/>
              </a:solidFill>
              <a:prstDash val="solid"/>
            </a:ln>
          </c:spPr>
          <c:invertIfNegative val="1"/>
          <c:cat>
            <c:strRef>
              <c:f>'Punto de equilibrio'!$U$55:$U$91</c:f>
              <c:strCache>
                <c:ptCount val="37"/>
                <c:pt idx="0">
                  <c:v>Inicio</c:v>
                </c:pt>
                <c:pt idx="1">
                  <c:v>sep 27</c:v>
                </c:pt>
                <c:pt idx="2">
                  <c:v>oct 27</c:v>
                </c:pt>
                <c:pt idx="3">
                  <c:v>nov 27</c:v>
                </c:pt>
                <c:pt idx="4">
                  <c:v>dic 27</c:v>
                </c:pt>
                <c:pt idx="5">
                  <c:v>ene 28</c:v>
                </c:pt>
                <c:pt idx="6">
                  <c:v>feb 28</c:v>
                </c:pt>
                <c:pt idx="7">
                  <c:v>mar 28</c:v>
                </c:pt>
                <c:pt idx="8">
                  <c:v>abr 28</c:v>
                </c:pt>
                <c:pt idx="9">
                  <c:v>may 28</c:v>
                </c:pt>
                <c:pt idx="10">
                  <c:v>jun 28</c:v>
                </c:pt>
                <c:pt idx="11">
                  <c:v>jul 28</c:v>
                </c:pt>
                <c:pt idx="12">
                  <c:v>ago 28</c:v>
                </c:pt>
                <c:pt idx="13">
                  <c:v>sep 28</c:v>
                </c:pt>
                <c:pt idx="14">
                  <c:v>oct 28</c:v>
                </c:pt>
                <c:pt idx="15">
                  <c:v>nov 28</c:v>
                </c:pt>
                <c:pt idx="16">
                  <c:v>dic 28</c:v>
                </c:pt>
                <c:pt idx="17">
                  <c:v>ene 29</c:v>
                </c:pt>
                <c:pt idx="18">
                  <c:v>feb 29</c:v>
                </c:pt>
                <c:pt idx="19">
                  <c:v>mar 29</c:v>
                </c:pt>
                <c:pt idx="20">
                  <c:v>abr 29</c:v>
                </c:pt>
                <c:pt idx="21">
                  <c:v>may 29</c:v>
                </c:pt>
                <c:pt idx="22">
                  <c:v>jun 29</c:v>
                </c:pt>
                <c:pt idx="23">
                  <c:v>jul 29</c:v>
                </c:pt>
                <c:pt idx="24">
                  <c:v>ago 29</c:v>
                </c:pt>
                <c:pt idx="25">
                  <c:v>sep 29</c:v>
                </c:pt>
                <c:pt idx="26">
                  <c:v>oct 29</c:v>
                </c:pt>
                <c:pt idx="27">
                  <c:v>nov 29</c:v>
                </c:pt>
                <c:pt idx="28">
                  <c:v>dic 29</c:v>
                </c:pt>
                <c:pt idx="29">
                  <c:v>ene 30</c:v>
                </c:pt>
                <c:pt idx="30">
                  <c:v>feb 30</c:v>
                </c:pt>
                <c:pt idx="31">
                  <c:v>mar 30</c:v>
                </c:pt>
                <c:pt idx="32">
                  <c:v>abr 30</c:v>
                </c:pt>
                <c:pt idx="33">
                  <c:v>may 30</c:v>
                </c:pt>
                <c:pt idx="34">
                  <c:v>jun 30</c:v>
                </c:pt>
                <c:pt idx="35">
                  <c:v>jul 30</c:v>
                </c:pt>
                <c:pt idx="36">
                  <c:v>ago 30</c:v>
                </c:pt>
              </c:strCache>
            </c:strRef>
          </c:cat>
          <c:val>
            <c:numRef>
              <c:f>'Punto de equilibrio'!$S$55:$S$91</c:f>
              <c:numCache>
                <c:formatCode>#,##0</c:formatCode>
                <c:ptCount val="37"/>
                <c:pt idx="0">
                  <c:v>53800</c:v>
                </c:pt>
                <c:pt idx="1">
                  <c:v>48936.3128</c:v>
                </c:pt>
                <c:pt idx="2">
                  <c:v>42506.467327999999</c:v>
                </c:pt>
                <c:pt idx="3">
                  <c:v>36910.617727999997</c:v>
                </c:pt>
                <c:pt idx="4">
                  <c:v>31525.097311999998</c:v>
                </c:pt>
                <c:pt idx="5">
                  <c:v>28663.197791999999</c:v>
                </c:pt>
                <c:pt idx="6">
                  <c:v>26419.556639999995</c:v>
                </c:pt>
                <c:pt idx="7">
                  <c:v>23279.565073895763</c:v>
                </c:pt>
                <c:pt idx="8">
                  <c:v>20586.481859791533</c:v>
                </c:pt>
                <c:pt idx="9">
                  <c:v>18400.127829687299</c:v>
                </c:pt>
                <c:pt idx="10">
                  <c:v>16250.589639583068</c:v>
                </c:pt>
                <c:pt idx="11">
                  <c:v>13845.793945478834</c:v>
                </c:pt>
                <c:pt idx="12">
                  <c:v>11186.822411374604</c:v>
                </c:pt>
                <c:pt idx="13">
                  <c:v>11725.180234870366</c:v>
                </c:pt>
                <c:pt idx="14">
                  <c:v>13157.22876876613</c:v>
                </c:pt>
                <c:pt idx="15">
                  <c:v>14944.979657861897</c:v>
                </c:pt>
                <c:pt idx="16">
                  <c:v>16529.081841357656</c:v>
                </c:pt>
                <c:pt idx="17">
                  <c:v>20179.943676853418</c:v>
                </c:pt>
                <c:pt idx="18">
                  <c:v>24005.330573149182</c:v>
                </c:pt>
                <c:pt idx="19">
                  <c:v>28149.237941444946</c:v>
                </c:pt>
                <c:pt idx="20">
                  <c:v>32351.689898540713</c:v>
                </c:pt>
                <c:pt idx="21">
                  <c:v>36713.956444436481</c:v>
                </c:pt>
                <c:pt idx="22">
                  <c:v>40754.376401532245</c:v>
                </c:pt>
                <c:pt idx="23">
                  <c:v>44273.735886628012</c:v>
                </c:pt>
                <c:pt idx="24">
                  <c:v>47252.889605323777</c:v>
                </c:pt>
                <c:pt idx="25">
                  <c:v>52931.375908159542</c:v>
                </c:pt>
                <c:pt idx="26">
                  <c:v>59075.986028595304</c:v>
                </c:pt>
                <c:pt idx="27">
                  <c:v>65299.091856071063</c:v>
                </c:pt>
                <c:pt idx="28">
                  <c:v>71068.311041646826</c:v>
                </c:pt>
                <c:pt idx="29">
                  <c:v>78401.679748342591</c:v>
                </c:pt>
                <c:pt idx="30">
                  <c:v>85689.550273698347</c:v>
                </c:pt>
                <c:pt idx="31">
                  <c:v>92976.28437581411</c:v>
                </c:pt>
                <c:pt idx="32">
                  <c:v>100098.07210116988</c:v>
                </c:pt>
                <c:pt idx="33">
                  <c:v>107137.95484976564</c:v>
                </c:pt>
                <c:pt idx="34">
                  <c:v>113663.9427529414</c:v>
                </c:pt>
                <c:pt idx="35">
                  <c:v>119492.03371879716</c:v>
                </c:pt>
                <c:pt idx="36">
                  <c:v>124623.36417057292</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1DD6C1"/>
                    </a:solidFill>
                    <a:prstDash val="solid"/>
                  </a:ln>
                </c14:spPr>
              </c14:invertSolidFillFmt>
            </c:ext>
            <c:ext xmlns:c16="http://schemas.microsoft.com/office/drawing/2014/chart" uri="{C3380CC4-5D6E-409C-BE32-E72D297353CC}">
              <c16:uniqueId val="{00000000-D8EC-4444-A63C-8F7293C5A9B4}"/>
            </c:ext>
          </c:extLst>
        </c:ser>
        <c:ser>
          <c:idx val="1"/>
          <c:order val="1"/>
          <c:tx>
            <c:v>Caja negativa</c:v>
          </c:tx>
          <c:spPr>
            <a:solidFill>
              <a:srgbClr val="C9284A"/>
            </a:solidFill>
            <a:ln>
              <a:solidFill>
                <a:srgbClr val="C9284A"/>
              </a:solidFill>
              <a:prstDash val="solid"/>
            </a:ln>
          </c:spPr>
          <c:invertIfNegative val="1"/>
          <c:cat>
            <c:strRef>
              <c:f>'Punto de equilibrio'!$U$55:$U$91</c:f>
              <c:strCache>
                <c:ptCount val="37"/>
                <c:pt idx="0">
                  <c:v>Inicio</c:v>
                </c:pt>
                <c:pt idx="1">
                  <c:v>sep 27</c:v>
                </c:pt>
                <c:pt idx="2">
                  <c:v>oct 27</c:v>
                </c:pt>
                <c:pt idx="3">
                  <c:v>nov 27</c:v>
                </c:pt>
                <c:pt idx="4">
                  <c:v>dic 27</c:v>
                </c:pt>
                <c:pt idx="5">
                  <c:v>ene 28</c:v>
                </c:pt>
                <c:pt idx="6">
                  <c:v>feb 28</c:v>
                </c:pt>
                <c:pt idx="7">
                  <c:v>mar 28</c:v>
                </c:pt>
                <c:pt idx="8">
                  <c:v>abr 28</c:v>
                </c:pt>
                <c:pt idx="9">
                  <c:v>may 28</c:v>
                </c:pt>
                <c:pt idx="10">
                  <c:v>jun 28</c:v>
                </c:pt>
                <c:pt idx="11">
                  <c:v>jul 28</c:v>
                </c:pt>
                <c:pt idx="12">
                  <c:v>ago 28</c:v>
                </c:pt>
                <c:pt idx="13">
                  <c:v>sep 28</c:v>
                </c:pt>
                <c:pt idx="14">
                  <c:v>oct 28</c:v>
                </c:pt>
                <c:pt idx="15">
                  <c:v>nov 28</c:v>
                </c:pt>
                <c:pt idx="16">
                  <c:v>dic 28</c:v>
                </c:pt>
                <c:pt idx="17">
                  <c:v>ene 29</c:v>
                </c:pt>
                <c:pt idx="18">
                  <c:v>feb 29</c:v>
                </c:pt>
                <c:pt idx="19">
                  <c:v>mar 29</c:v>
                </c:pt>
                <c:pt idx="20">
                  <c:v>abr 29</c:v>
                </c:pt>
                <c:pt idx="21">
                  <c:v>may 29</c:v>
                </c:pt>
                <c:pt idx="22">
                  <c:v>jun 29</c:v>
                </c:pt>
                <c:pt idx="23">
                  <c:v>jul 29</c:v>
                </c:pt>
                <c:pt idx="24">
                  <c:v>ago 29</c:v>
                </c:pt>
                <c:pt idx="25">
                  <c:v>sep 29</c:v>
                </c:pt>
                <c:pt idx="26">
                  <c:v>oct 29</c:v>
                </c:pt>
                <c:pt idx="27">
                  <c:v>nov 29</c:v>
                </c:pt>
                <c:pt idx="28">
                  <c:v>dic 29</c:v>
                </c:pt>
                <c:pt idx="29">
                  <c:v>ene 30</c:v>
                </c:pt>
                <c:pt idx="30">
                  <c:v>feb 30</c:v>
                </c:pt>
                <c:pt idx="31">
                  <c:v>mar 30</c:v>
                </c:pt>
                <c:pt idx="32">
                  <c:v>abr 30</c:v>
                </c:pt>
                <c:pt idx="33">
                  <c:v>may 30</c:v>
                </c:pt>
                <c:pt idx="34">
                  <c:v>jun 30</c:v>
                </c:pt>
                <c:pt idx="35">
                  <c:v>jul 30</c:v>
                </c:pt>
                <c:pt idx="36">
                  <c:v>ago 30</c:v>
                </c:pt>
              </c:strCache>
            </c:strRef>
          </c:cat>
          <c:val>
            <c:numRef>
              <c:f>'Punto de equilibrio'!$T$55:$T$91</c:f>
              <c:numCache>
                <c:formatCode>#,##0</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C9284A"/>
                    </a:solidFill>
                    <a:prstDash val="solid"/>
                  </a:ln>
                </c14:spPr>
              </c14:invertSolidFillFmt>
            </c:ext>
            <c:ext xmlns:c16="http://schemas.microsoft.com/office/drawing/2014/chart" uri="{C3380CC4-5D6E-409C-BE32-E72D297353CC}">
              <c16:uniqueId val="{00000001-D8EC-4444-A63C-8F7293C5A9B4}"/>
            </c:ext>
          </c:extLst>
        </c:ser>
        <c:dLbls>
          <c:showLegendKey val="0"/>
          <c:showVal val="0"/>
          <c:showCatName val="0"/>
          <c:showSerName val="0"/>
          <c:showPercent val="0"/>
          <c:showBubbleSize val="0"/>
        </c:dLbls>
        <c:gapWidth val="35"/>
        <c:overlap val="100"/>
        <c:axId val="10"/>
        <c:axId val="100"/>
      </c:barChart>
      <c:catAx>
        <c:axId val="10"/>
        <c:scaling>
          <c:orientation val="minMax"/>
        </c:scaling>
        <c:delete val="0"/>
        <c:axPos val="b"/>
        <c:numFmt formatCode="General" sourceLinked="1"/>
        <c:majorTickMark val="none"/>
        <c:minorTickMark val="none"/>
        <c:tickLblPos val="low"/>
        <c:spPr>
          <a:ln w="9525">
            <a:solidFill>
              <a:srgbClr val="C9D2DE"/>
            </a:solidFill>
            <a:prstDash val="solid"/>
          </a:ln>
        </c:spPr>
        <c:txPr>
          <a:bodyPr/>
          <a:lstStyle/>
          <a:p>
            <a:pPr>
              <a:defRPr sz="750" b="0">
                <a:solidFill>
                  <a:srgbClr val="5C697D"/>
                </a:solidFill>
                <a:latin typeface="Arial"/>
              </a:defRPr>
            </a:pPr>
            <a:endParaRPr lang="es-ES"/>
          </a:p>
        </c:txPr>
        <c:crossAx val="100"/>
        <c:crosses val="autoZero"/>
        <c:auto val="1"/>
        <c:lblAlgn val="ctr"/>
        <c:lblOffset val="100"/>
        <c:tickLblSkip val="6"/>
        <c:tickMarkSkip val="6"/>
        <c:noMultiLvlLbl val="1"/>
      </c:catAx>
      <c:valAx>
        <c:axId val="100"/>
        <c:scaling>
          <c:orientation val="minMax"/>
        </c:scaling>
        <c:delete val="0"/>
        <c:axPos val="l"/>
        <c:majorGridlines>
          <c:spPr>
            <a:ln w="6350">
              <a:solidFill>
                <a:srgbClr val="E3E9F0"/>
              </a:solidFill>
              <a:prstDash val="solid"/>
            </a:ln>
          </c:spPr>
        </c:majorGridlines>
        <c:numFmt formatCode="#,##0&quot; €&quot;" sourceLinked="0"/>
        <c:majorTickMark val="none"/>
        <c:minorTickMark val="none"/>
        <c:tickLblPos val="nextTo"/>
        <c:spPr>
          <a:ln>
            <a:noFill/>
            <a:prstDash val="solid"/>
          </a:ln>
        </c:spPr>
        <c:txPr>
          <a:bodyPr/>
          <a:lstStyle/>
          <a:p>
            <a:pPr>
              <a:defRPr sz="750" b="0">
                <a:solidFill>
                  <a:srgbClr val="5C697D"/>
                </a:solidFill>
                <a:latin typeface="Arial"/>
              </a:defRPr>
            </a:pPr>
            <a:endParaRPr lang="es-ES"/>
          </a:p>
        </c:txPr>
        <c:crossAx val="10"/>
        <c:crosses val="autoZero"/>
        <c:crossBetween val="between"/>
      </c:valAx>
    </c:plotArea>
    <c:plotVisOnly val="0"/>
    <c:dispBlanksAs val="gap"/>
    <c:showDLblsOverMax val="1"/>
  </c:chart>
  <c:spPr>
    <a:ln>
      <a:no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085850" cy="3238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17</xdr:row>
      <xdr:rowOff>0</xdr:rowOff>
    </xdr:from>
    <xdr:ext cx="7056000" cy="2304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xdr:col>
      <xdr:colOff>0</xdr:colOff>
      <xdr:row>32</xdr:row>
      <xdr:rowOff>0</xdr:rowOff>
    </xdr:from>
    <xdr:ext cx="3420000" cy="2232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9</xdr:col>
      <xdr:colOff>0</xdr:colOff>
      <xdr:row>32</xdr:row>
      <xdr:rowOff>0</xdr:rowOff>
    </xdr:from>
    <xdr:ext cx="3420000" cy="2232000"/>
    <xdr:graphicFrame macro="">
      <xdr:nvGraphicFramePr>
        <xdr:cNvPr id="4" name="Chart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11</xdr:row>
      <xdr:rowOff>0</xdr:rowOff>
    </xdr:from>
    <xdr:ext cx="895350" cy="266700"/>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ymgym.es/recursos/?utm_source=plan-viabilidad&amp;utm_medium=excel&amp;utm_campaign=recursos"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gymgym.es/recursos/?utm_source=plan-viabilidad&amp;utm_medium=excel&amp;utm_campaign=recursos" TargetMode="External"/><Relationship Id="rId1" Type="http://schemas.openxmlformats.org/officeDocument/2006/relationships/hyperlink" Target="https://gymgym.es/?utm_source=plan-viabilidad&amp;utm_medium=excel&amp;utm_campaign=recurs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A0E15"/>
    <pageSetUpPr fitToPage="1"/>
  </sheetPr>
  <dimension ref="B2:D44"/>
  <sheetViews>
    <sheetView showGridLines="0" tabSelected="1" workbookViewId="0"/>
  </sheetViews>
  <sheetFormatPr baseColWidth="10" defaultColWidth="8.83203125" defaultRowHeight="15" x14ac:dyDescent="0.2"/>
  <cols>
    <col min="1" max="1" width="2.5" customWidth="1"/>
    <col min="2" max="2" width="5.5" customWidth="1"/>
    <col min="3" max="3" width="50" customWidth="1"/>
    <col min="4" max="4" width="40" customWidth="1"/>
    <col min="5" max="5" width="2.5" customWidth="1"/>
  </cols>
  <sheetData>
    <row r="2" spans="2:4" ht="26" customHeight="1" x14ac:dyDescent="0.2"/>
    <row r="3" spans="2:4" ht="8" customHeight="1" x14ac:dyDescent="0.2"/>
    <row r="4" spans="2:4" ht="36" customHeight="1" x14ac:dyDescent="0.3">
      <c r="B4" s="1" t="s">
        <v>0</v>
      </c>
    </row>
    <row r="5" spans="2:4" ht="30" customHeight="1" x14ac:dyDescent="0.2">
      <c r="B5" s="132" t="s">
        <v>1</v>
      </c>
      <c r="C5" s="128"/>
      <c r="D5" s="128"/>
    </row>
    <row r="6" spans="2:4" ht="4" customHeight="1" x14ac:dyDescent="0.2">
      <c r="B6" s="2"/>
      <c r="C6" s="2"/>
      <c r="D6" s="2"/>
    </row>
    <row r="8" spans="2:4" ht="22" customHeight="1" x14ac:dyDescent="0.2">
      <c r="B8" s="3" t="s">
        <v>2</v>
      </c>
    </row>
    <row r="9" spans="2:4" ht="20" customHeight="1" x14ac:dyDescent="0.2">
      <c r="B9" s="4"/>
      <c r="C9" s="5" t="s">
        <v>3</v>
      </c>
      <c r="D9" s="5" t="s">
        <v>4</v>
      </c>
    </row>
    <row r="10" spans="2:4" ht="18" customHeight="1" x14ac:dyDescent="0.2">
      <c r="B10" s="6">
        <v>1</v>
      </c>
      <c r="C10" s="7" t="s">
        <v>5</v>
      </c>
      <c r="D10" s="8" t="s">
        <v>6</v>
      </c>
    </row>
    <row r="11" spans="2:4" ht="18" customHeight="1" x14ac:dyDescent="0.2">
      <c r="B11" s="6">
        <v>2</v>
      </c>
      <c r="C11" s="7" t="s">
        <v>7</v>
      </c>
      <c r="D11" s="8" t="s">
        <v>8</v>
      </c>
    </row>
    <row r="12" spans="2:4" ht="18" customHeight="1" x14ac:dyDescent="0.2">
      <c r="B12" s="6">
        <v>3</v>
      </c>
      <c r="C12" s="7" t="s">
        <v>9</v>
      </c>
      <c r="D12" s="8" t="s">
        <v>6</v>
      </c>
    </row>
    <row r="13" spans="2:4" ht="18" customHeight="1" x14ac:dyDescent="0.2">
      <c r="B13" s="6">
        <v>4</v>
      </c>
      <c r="C13" s="7" t="s">
        <v>10</v>
      </c>
      <c r="D13" s="8" t="s">
        <v>11</v>
      </c>
    </row>
    <row r="14" spans="2:4" ht="18" customHeight="1" x14ac:dyDescent="0.2">
      <c r="B14" s="6">
        <v>5</v>
      </c>
      <c r="C14" s="7" t="s">
        <v>12</v>
      </c>
      <c r="D14" s="8" t="s">
        <v>13</v>
      </c>
    </row>
    <row r="16" spans="2:4" ht="26" customHeight="1" x14ac:dyDescent="0.2">
      <c r="B16" s="3" t="s">
        <v>14</v>
      </c>
    </row>
    <row r="17" spans="2:4" ht="18" customHeight="1" x14ac:dyDescent="0.2">
      <c r="B17" s="130">
        <v>1</v>
      </c>
      <c r="C17" s="131" t="s">
        <v>15</v>
      </c>
      <c r="D17" s="128"/>
    </row>
    <row r="18" spans="2:4" ht="28" customHeight="1" x14ac:dyDescent="0.2">
      <c r="B18" s="128"/>
      <c r="C18" s="127" t="s">
        <v>16</v>
      </c>
      <c r="D18" s="128"/>
    </row>
    <row r="19" spans="2:4" ht="18" customHeight="1" x14ac:dyDescent="0.2">
      <c r="B19" s="130">
        <v>2</v>
      </c>
      <c r="C19" s="131" t="s">
        <v>17</v>
      </c>
      <c r="D19" s="128"/>
    </row>
    <row r="20" spans="2:4" ht="28" customHeight="1" x14ac:dyDescent="0.2">
      <c r="B20" s="128"/>
      <c r="C20" s="127" t="s">
        <v>18</v>
      </c>
      <c r="D20" s="128"/>
    </row>
    <row r="21" spans="2:4" ht="18" customHeight="1" x14ac:dyDescent="0.2">
      <c r="B21" s="130">
        <v>3</v>
      </c>
      <c r="C21" s="131" t="s">
        <v>19</v>
      </c>
      <c r="D21" s="128"/>
    </row>
    <row r="22" spans="2:4" ht="28" customHeight="1" x14ac:dyDescent="0.2">
      <c r="B22" s="128"/>
      <c r="C22" s="127" t="s">
        <v>20</v>
      </c>
      <c r="D22" s="128"/>
    </row>
    <row r="23" spans="2:4" ht="18" customHeight="1" x14ac:dyDescent="0.2">
      <c r="B23" s="130">
        <v>4</v>
      </c>
      <c r="C23" s="131" t="s">
        <v>21</v>
      </c>
      <c r="D23" s="128"/>
    </row>
    <row r="24" spans="2:4" ht="28" customHeight="1" x14ac:dyDescent="0.2">
      <c r="B24" s="128"/>
      <c r="C24" s="127" t="s">
        <v>22</v>
      </c>
      <c r="D24" s="128"/>
    </row>
    <row r="25" spans="2:4" ht="18" customHeight="1" x14ac:dyDescent="0.2">
      <c r="B25" s="130">
        <v>5</v>
      </c>
      <c r="C25" s="131" t="s">
        <v>23</v>
      </c>
      <c r="D25" s="128"/>
    </row>
    <row r="26" spans="2:4" ht="28" customHeight="1" x14ac:dyDescent="0.2">
      <c r="B26" s="128"/>
      <c r="C26" s="127" t="s">
        <v>24</v>
      </c>
      <c r="D26" s="128"/>
    </row>
    <row r="28" spans="2:4" ht="26" customHeight="1" x14ac:dyDescent="0.2">
      <c r="B28" s="3" t="s">
        <v>25</v>
      </c>
    </row>
    <row r="29" spans="2:4" ht="18" customHeight="1" x14ac:dyDescent="0.2">
      <c r="B29" s="10"/>
      <c r="C29" s="11" t="s">
        <v>26</v>
      </c>
      <c r="D29" s="12" t="s">
        <v>27</v>
      </c>
    </row>
    <row r="30" spans="2:4" ht="18" customHeight="1" x14ac:dyDescent="0.2">
      <c r="B30" s="13"/>
      <c r="C30" s="11" t="s">
        <v>28</v>
      </c>
      <c r="D30" s="14" t="s">
        <v>29</v>
      </c>
    </row>
    <row r="31" spans="2:4" ht="18" customHeight="1" x14ac:dyDescent="0.2">
      <c r="B31" s="15"/>
      <c r="C31" s="11" t="s">
        <v>30</v>
      </c>
      <c r="D31" s="16" t="s">
        <v>31</v>
      </c>
    </row>
    <row r="32" spans="2:4" ht="18" customHeight="1" x14ac:dyDescent="0.2">
      <c r="D32" s="17" t="s">
        <v>32</v>
      </c>
    </row>
    <row r="34" spans="2:4" ht="26" customHeight="1" x14ac:dyDescent="0.2">
      <c r="B34" s="3" t="s">
        <v>33</v>
      </c>
    </row>
    <row r="35" spans="2:4" ht="30" customHeight="1" x14ac:dyDescent="0.2">
      <c r="B35" s="127" t="s">
        <v>34</v>
      </c>
      <c r="C35" s="128"/>
      <c r="D35" s="128"/>
    </row>
    <row r="36" spans="2:4" ht="44" customHeight="1" x14ac:dyDescent="0.2">
      <c r="B36" s="127" t="s">
        <v>35</v>
      </c>
      <c r="C36" s="128"/>
      <c r="D36" s="128"/>
    </row>
    <row r="38" spans="2:4" ht="26" customHeight="1" x14ac:dyDescent="0.2">
      <c r="B38" s="3" t="s">
        <v>36</v>
      </c>
    </row>
    <row r="39" spans="2:4" ht="17" customHeight="1" x14ac:dyDescent="0.2">
      <c r="B39" s="18" t="s">
        <v>37</v>
      </c>
      <c r="C39" s="129" t="s">
        <v>38</v>
      </c>
      <c r="D39" s="128"/>
    </row>
    <row r="40" spans="2:4" ht="17" customHeight="1" x14ac:dyDescent="0.2">
      <c r="B40" s="18" t="s">
        <v>37</v>
      </c>
      <c r="C40" s="129" t="s">
        <v>39</v>
      </c>
      <c r="D40" s="128"/>
    </row>
    <row r="41" spans="2:4" ht="17" customHeight="1" x14ac:dyDescent="0.2">
      <c r="B41" s="18" t="s">
        <v>37</v>
      </c>
      <c r="C41" s="129" t="s">
        <v>40</v>
      </c>
      <c r="D41" s="128"/>
    </row>
    <row r="42" spans="2:4" ht="17" customHeight="1" x14ac:dyDescent="0.2">
      <c r="B42" s="18" t="s">
        <v>37</v>
      </c>
      <c r="C42" s="129" t="s">
        <v>41</v>
      </c>
      <c r="D42" s="128"/>
    </row>
    <row r="44" spans="2:4" ht="22" customHeight="1" x14ac:dyDescent="0.2">
      <c r="C44" s="20" t="s">
        <v>42</v>
      </c>
    </row>
  </sheetData>
  <mergeCells count="22">
    <mergeCell ref="B5:D5"/>
    <mergeCell ref="B36:D36"/>
    <mergeCell ref="C21:D21"/>
    <mergeCell ref="B35:D35"/>
    <mergeCell ref="C17:D17"/>
    <mergeCell ref="C23:D23"/>
    <mergeCell ref="C19:D19"/>
    <mergeCell ref="B25:B26"/>
    <mergeCell ref="C18:D18"/>
    <mergeCell ref="B21:B22"/>
    <mergeCell ref="C24:D24"/>
    <mergeCell ref="C42:D42"/>
    <mergeCell ref="B17:B18"/>
    <mergeCell ref="C26:D26"/>
    <mergeCell ref="C20:D20"/>
    <mergeCell ref="B23:B24"/>
    <mergeCell ref="C25:D25"/>
    <mergeCell ref="C41:D41"/>
    <mergeCell ref="C22:D22"/>
    <mergeCell ref="C40:D40"/>
    <mergeCell ref="B19:B20"/>
    <mergeCell ref="C39:D39"/>
  </mergeCells>
  <hyperlinks>
    <hyperlink ref="D10" location="'Resumen'!A1" display="Resumen" xr:uid="{00000000-0004-0000-0000-000000000000}"/>
    <hyperlink ref="D11" location="'Punto de equilibrio'!A1" display="Punto de equilibrio" xr:uid="{00000000-0004-0000-0000-000001000000}"/>
    <hyperlink ref="D12" location="'Resumen'!A1" display="Resumen" xr:uid="{00000000-0004-0000-0000-000002000000}"/>
    <hyperlink ref="D13" location="'Previsión 36 meses'!A1" display="Previsión 36 meses" xr:uid="{00000000-0004-0000-0000-000003000000}"/>
    <hyperlink ref="D14" location="'Punto de equilibrio'!A1" display="Escenario pesimista y tabla de sensibilidad" xr:uid="{00000000-0004-0000-0000-000004000000}"/>
    <hyperlink ref="C44" r:id="rId1" xr:uid="{00000000-0004-0000-0000-000005000000}"/>
  </hyperlinks>
  <printOptions horizontalCentered="1"/>
  <pageMargins left="0.45" right="0.45" top="0.6" bottom="0.6" header="0.25" footer="0.25"/>
  <pageSetup paperSize="9" orientation="portrait"/>
  <headerFooter>
    <oddHeader>&amp;L&amp;"Arial,Bold"&amp;8 &amp;K5C697D&amp;A&amp;R&amp;"Arial,Regular"&amp;8 &amp;K5C697DPlan de viabilidad</oddHeader>
    <oddFooter>&amp;L&amp;"Arial,Regular"&amp;8 &amp;K5C697DPlantilla gratuita de GymGym · gymgym.es/recursos&amp;R&amp;"Arial,Regular"&amp;8 &amp;K5C697DPágina &amp;P de &amp;N</oddFooter>
    <evenHeader>&amp;L&amp;"Arial,Bold"&amp;8 &amp;K5C697D&amp;A&amp;R&amp;"Arial,Regular"&amp;8 &amp;K5C697DPlan de viabilidad</evenHeader>
    <evenFooter>&amp;L&amp;"Arial,Regular"&amp;8 &amp;K5C697DPlantilla gratuita de GymGym · gymgym.es/recursos&amp;R&amp;"Arial,Regular"&amp;8 &amp;K5C697DPágina &amp;P de &amp;N</evenFooter>
    <firstHeader>&amp;L&amp;"Arial,Bold"&amp;8 &amp;K5C697D&amp;A&amp;R&amp;"Arial,Regular"&amp;8 &amp;K5C697DPlan de viabilidad</firstHeader>
    <firstFooter>&amp;L&amp;"Arial,Regular"&amp;8 &amp;K5C697DPlantilla gratuita de GymGym · gymgym.es/recursos&amp;R&amp;"Arial,Regular"&amp;8 &amp;K5C697DPágina &amp;P de &amp;N</first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DD6C1"/>
    <pageSetUpPr fitToPage="1"/>
  </sheetPr>
  <dimension ref="B1:G113"/>
  <sheetViews>
    <sheetView showGridLines="0" workbookViewId="0">
      <pane ySplit="4" topLeftCell="A5" activePane="bottomLeft" state="frozen"/>
      <selection pane="bottomLeft"/>
    </sheetView>
  </sheetViews>
  <sheetFormatPr baseColWidth="10" defaultColWidth="8.83203125" defaultRowHeight="15" x14ac:dyDescent="0.2"/>
  <cols>
    <col min="1" max="1" width="2.5" customWidth="1"/>
    <col min="2" max="2" width="47" customWidth="1"/>
    <col min="3" max="7" width="15" customWidth="1"/>
    <col min="8" max="8" width="2.5" customWidth="1"/>
  </cols>
  <sheetData>
    <row r="1" spans="2:7" ht="34" customHeight="1" x14ac:dyDescent="0.25">
      <c r="B1" s="21" t="s">
        <v>43</v>
      </c>
    </row>
    <row r="2" spans="2:7" ht="20" customHeight="1" x14ac:dyDescent="0.2">
      <c r="B2" s="19" t="s">
        <v>44</v>
      </c>
    </row>
    <row r="3" spans="2:7" ht="5" customHeight="1" x14ac:dyDescent="0.2">
      <c r="B3" s="2"/>
      <c r="C3" s="2"/>
      <c r="D3" s="2"/>
      <c r="E3" s="2"/>
      <c r="F3" s="2"/>
      <c r="G3" s="2"/>
    </row>
    <row r="4" spans="2:7" ht="16" customHeight="1" x14ac:dyDescent="0.2">
      <c r="B4" s="22" t="s">
        <v>45</v>
      </c>
      <c r="C4" s="23" t="s">
        <v>46</v>
      </c>
      <c r="D4" s="24" t="s">
        <v>47</v>
      </c>
    </row>
    <row r="5" spans="2:7" ht="16" customHeight="1" x14ac:dyDescent="0.2"/>
    <row r="6" spans="2:7" ht="26" customHeight="1" x14ac:dyDescent="0.2">
      <c r="B6" s="25" t="s">
        <v>48</v>
      </c>
      <c r="C6" s="26"/>
      <c r="D6" s="26"/>
      <c r="E6" s="26"/>
      <c r="F6" s="26"/>
      <c r="G6" s="26"/>
    </row>
    <row r="7" spans="2:7" ht="16" customHeight="1" x14ac:dyDescent="0.2">
      <c r="B7" s="27" t="s">
        <v>49</v>
      </c>
      <c r="C7" s="137" t="s">
        <v>50</v>
      </c>
      <c r="D7" s="138"/>
      <c r="E7" s="133" t="s">
        <v>51</v>
      </c>
      <c r="F7" s="128"/>
      <c r="G7" s="128"/>
    </row>
    <row r="8" spans="2:7" ht="16" customHeight="1" x14ac:dyDescent="0.2">
      <c r="B8" s="27" t="s">
        <v>52</v>
      </c>
      <c r="C8" s="28">
        <v>46631</v>
      </c>
      <c r="D8" s="134" t="str">
        <f>"Año 1: "&amp;CHOOSE(MONTH(DATE(YEAR(Supuestos!$C$8),MONTH(Supuestos!$C$8)+(1)-1,1)),"ene","feb","mar","abr","may","jun","jul","ago","sep","oct","nov","dic")&amp;" "&amp;YEAR(DATE(YEAR(Supuestos!$C$8),MONTH(Supuestos!$C$8)+(1)-1,1))&amp;" – "&amp;CHOOSE(MONTH(DATE(YEAR(Supuestos!$C$8),MONTH(Supuestos!$C$8)+(12)-1,1)),"ene","feb","mar","abr","may","jun","jul","ago","sep","oct","nov","dic")&amp;" "&amp;YEAR(DATE(YEAR(Supuestos!$C$8),MONTH(Supuestos!$C$8)+(12)-1,1))&amp;"   ·   año 3 termina en "&amp;CHOOSE(MONTH(DATE(YEAR(Supuestos!$C$8),MONTH(Supuestos!$C$8)+(36)-1,1)),"ene","feb","mar","abr","may","jun","jul","ago","sep","oct","nov","dic")&amp;" "&amp;YEAR(DATE(YEAR(Supuestos!$C$8),MONTH(Supuestos!$C$8)+(36)-1,1))</f>
        <v>Año 1: sep 2027 – ago 2028   ·   año 3 termina en ago 2030</v>
      </c>
      <c r="E8" s="128"/>
      <c r="F8" s="128"/>
      <c r="G8" s="128"/>
    </row>
    <row r="9" spans="2:7" ht="16" customHeight="1" x14ac:dyDescent="0.2">
      <c r="B9" s="30" t="s">
        <v>53</v>
      </c>
      <c r="C9" s="31" t="s">
        <v>54</v>
      </c>
      <c r="D9" s="133" t="s">
        <v>55</v>
      </c>
      <c r="E9" s="128"/>
      <c r="F9" s="128"/>
      <c r="G9" s="128"/>
    </row>
    <row r="10" spans="2:7" ht="16" customHeight="1" x14ac:dyDescent="0.2"/>
    <row r="11" spans="2:7" ht="24" customHeight="1" x14ac:dyDescent="0.2">
      <c r="B11" s="32" t="s">
        <v>56</v>
      </c>
      <c r="C11" s="4" t="s">
        <v>57</v>
      </c>
      <c r="D11" s="4" t="s">
        <v>54</v>
      </c>
      <c r="E11" s="4" t="s">
        <v>58</v>
      </c>
      <c r="F11" s="4" t="s">
        <v>59</v>
      </c>
    </row>
    <row r="12" spans="2:7" ht="16" customHeight="1" x14ac:dyDescent="0.2">
      <c r="B12" s="33" t="s">
        <v>60</v>
      </c>
      <c r="C12" s="34">
        <v>0.85</v>
      </c>
      <c r="D12" s="34">
        <v>1</v>
      </c>
      <c r="E12" s="34">
        <v>1.1499999999999999</v>
      </c>
      <c r="F12" s="35">
        <f>IFERROR(INDEX(C12:E12,MATCH($C$9,$C$11:$E$11,0)),1)</f>
        <v>1</v>
      </c>
    </row>
    <row r="13" spans="2:7" ht="16" customHeight="1" x14ac:dyDescent="0.2">
      <c r="B13" s="33" t="s">
        <v>61</v>
      </c>
      <c r="C13" s="34">
        <v>1.1499999999999999</v>
      </c>
      <c r="D13" s="34">
        <v>1</v>
      </c>
      <c r="E13" s="34">
        <v>0.9</v>
      </c>
      <c r="F13" s="35">
        <f>IFERROR(INDEX(C13:E13,MATCH($C$9,$C$11:$E$11,0)),1)</f>
        <v>1</v>
      </c>
    </row>
    <row r="14" spans="2:7" ht="16" customHeight="1" x14ac:dyDescent="0.2">
      <c r="B14" s="33" t="s">
        <v>62</v>
      </c>
      <c r="C14" s="34">
        <v>0.95</v>
      </c>
      <c r="D14" s="34">
        <v>1</v>
      </c>
      <c r="E14" s="34">
        <v>1.03</v>
      </c>
      <c r="F14" s="35">
        <f>IFERROR(INDEX(C14:E14,MATCH($C$9,$C$11:$E$11,0)),1)</f>
        <v>1</v>
      </c>
    </row>
    <row r="15" spans="2:7" ht="16" customHeight="1" x14ac:dyDescent="0.2">
      <c r="B15" s="133" t="s">
        <v>63</v>
      </c>
      <c r="C15" s="128"/>
      <c r="D15" s="128"/>
      <c r="E15" s="128"/>
      <c r="F15" s="128"/>
      <c r="G15" s="128"/>
    </row>
    <row r="16" spans="2:7" ht="16" customHeight="1" x14ac:dyDescent="0.2"/>
    <row r="17" spans="2:7" ht="26" customHeight="1" x14ac:dyDescent="0.2">
      <c r="B17" s="25" t="s">
        <v>64</v>
      </c>
      <c r="C17" s="26"/>
      <c r="D17" s="26"/>
      <c r="E17" s="26"/>
      <c r="F17" s="26"/>
      <c r="G17" s="26"/>
    </row>
    <row r="18" spans="2:7" ht="16" customHeight="1" x14ac:dyDescent="0.2">
      <c r="B18" s="27" t="s">
        <v>65</v>
      </c>
      <c r="C18" s="36">
        <v>400</v>
      </c>
    </row>
    <row r="19" spans="2:7" ht="16" customHeight="1" x14ac:dyDescent="0.2">
      <c r="B19" s="27" t="s">
        <v>66</v>
      </c>
      <c r="C19" s="37">
        <v>3600</v>
      </c>
      <c r="D19" s="133" t="str">
        <f>IFERROR("Son "&amp;FIXED(C19/C18,2)&amp;" € por m² al mes.","")</f>
        <v>Son 9,00 € por m² al mes.</v>
      </c>
      <c r="E19" s="128"/>
      <c r="F19" s="128"/>
      <c r="G19" s="128"/>
    </row>
    <row r="20" spans="2:7" ht="16" customHeight="1" x14ac:dyDescent="0.2">
      <c r="B20" s="27" t="s">
        <v>67</v>
      </c>
      <c r="C20" s="38">
        <v>2</v>
      </c>
      <c r="D20" s="133" t="s">
        <v>68</v>
      </c>
      <c r="E20" s="128"/>
      <c r="F20" s="128"/>
      <c r="G20" s="128"/>
    </row>
    <row r="21" spans="2:7" ht="16" customHeight="1" x14ac:dyDescent="0.2">
      <c r="B21" s="27" t="s">
        <v>69</v>
      </c>
      <c r="C21" s="39">
        <v>140</v>
      </c>
      <c r="D21" s="133" t="s">
        <v>70</v>
      </c>
      <c r="E21" s="128"/>
      <c r="F21" s="128"/>
      <c r="G21" s="128"/>
    </row>
    <row r="22" spans="2:7" ht="16" customHeight="1" x14ac:dyDescent="0.2"/>
    <row r="23" spans="2:7" ht="26" customHeight="1" x14ac:dyDescent="0.2">
      <c r="B23" s="25" t="s">
        <v>71</v>
      </c>
      <c r="C23" s="26"/>
      <c r="D23" s="26"/>
      <c r="E23" s="26"/>
      <c r="F23" s="26"/>
      <c r="G23" s="26"/>
    </row>
    <row r="24" spans="2:7" ht="22" customHeight="1" x14ac:dyDescent="0.2">
      <c r="B24" s="32" t="s">
        <v>72</v>
      </c>
      <c r="C24" s="4" t="s">
        <v>73</v>
      </c>
      <c r="D24" s="136" t="s">
        <v>74</v>
      </c>
      <c r="E24" s="128"/>
      <c r="F24" s="128"/>
      <c r="G24" s="128"/>
    </row>
    <row r="25" spans="2:7" ht="16" customHeight="1" x14ac:dyDescent="0.2">
      <c r="B25" s="33" t="s">
        <v>75</v>
      </c>
      <c r="C25" s="40">
        <f>C19*C20</f>
        <v>7200</v>
      </c>
      <c r="D25" s="133" t="s">
        <v>76</v>
      </c>
      <c r="E25" s="128"/>
      <c r="F25" s="128"/>
      <c r="G25" s="128"/>
    </row>
    <row r="26" spans="2:7" ht="16" customHeight="1" x14ac:dyDescent="0.2">
      <c r="B26" s="33" t="s">
        <v>77</v>
      </c>
      <c r="C26" s="40">
        <f>C18*C21</f>
        <v>56000</v>
      </c>
      <c r="D26" s="133" t="s">
        <v>78</v>
      </c>
      <c r="E26" s="128"/>
      <c r="F26" s="128"/>
      <c r="G26" s="128"/>
    </row>
    <row r="27" spans="2:7" ht="16" customHeight="1" x14ac:dyDescent="0.2">
      <c r="B27" s="33" t="s">
        <v>79</v>
      </c>
      <c r="C27" s="37">
        <v>75000</v>
      </c>
      <c r="D27" s="133" t="s">
        <v>80</v>
      </c>
      <c r="E27" s="128"/>
      <c r="F27" s="128"/>
      <c r="G27" s="128"/>
    </row>
    <row r="28" spans="2:7" ht="16" customHeight="1" x14ac:dyDescent="0.2">
      <c r="B28" s="33" t="s">
        <v>81</v>
      </c>
      <c r="C28" s="37">
        <v>9000</v>
      </c>
      <c r="D28" s="133" t="s">
        <v>82</v>
      </c>
      <c r="E28" s="128"/>
      <c r="F28" s="128"/>
      <c r="G28" s="128"/>
    </row>
    <row r="29" spans="2:7" ht="16" customHeight="1" x14ac:dyDescent="0.2">
      <c r="B29" s="33" t="s">
        <v>83</v>
      </c>
      <c r="C29" s="37">
        <v>12000</v>
      </c>
      <c r="D29" s="133" t="s">
        <v>84</v>
      </c>
      <c r="E29" s="128"/>
      <c r="F29" s="128"/>
      <c r="G29" s="128"/>
    </row>
    <row r="30" spans="2:7" ht="16" customHeight="1" x14ac:dyDescent="0.2">
      <c r="B30" s="33" t="s">
        <v>85</v>
      </c>
      <c r="C30" s="37">
        <v>6000</v>
      </c>
      <c r="D30" s="133" t="s">
        <v>86</v>
      </c>
      <c r="E30" s="128"/>
      <c r="F30" s="128"/>
      <c r="G30" s="128"/>
    </row>
    <row r="31" spans="2:7" ht="16" customHeight="1" x14ac:dyDescent="0.2">
      <c r="B31" s="33" t="s">
        <v>87</v>
      </c>
      <c r="C31" s="37">
        <v>6000</v>
      </c>
      <c r="D31" s="133" t="s">
        <v>88</v>
      </c>
      <c r="E31" s="128"/>
      <c r="F31" s="128"/>
      <c r="G31" s="128"/>
    </row>
    <row r="32" spans="2:7" ht="16" customHeight="1" x14ac:dyDescent="0.2">
      <c r="B32" s="33" t="s">
        <v>89</v>
      </c>
      <c r="C32" s="37">
        <v>5000</v>
      </c>
      <c r="D32" s="133" t="s">
        <v>90</v>
      </c>
      <c r="E32" s="128"/>
      <c r="F32" s="128"/>
      <c r="G32" s="128"/>
    </row>
    <row r="33" spans="2:7" ht="16" customHeight="1" x14ac:dyDescent="0.2">
      <c r="B33" s="41" t="s">
        <v>91</v>
      </c>
      <c r="C33" s="42">
        <f>SUM(C25:C32)</f>
        <v>176200</v>
      </c>
    </row>
    <row r="34" spans="2:7" ht="16" customHeight="1" x14ac:dyDescent="0.2">
      <c r="B34" s="27" t="s">
        <v>92</v>
      </c>
      <c r="C34" s="37">
        <v>15000</v>
      </c>
      <c r="D34" s="133" t="s">
        <v>93</v>
      </c>
      <c r="E34" s="128"/>
      <c r="F34" s="128"/>
      <c r="G34" s="128"/>
    </row>
    <row r="35" spans="2:7" ht="16" customHeight="1" x14ac:dyDescent="0.2">
      <c r="B35" s="27" t="s">
        <v>94</v>
      </c>
      <c r="C35" s="43">
        <v>10</v>
      </c>
      <c r="D35" s="133" t="s">
        <v>95</v>
      </c>
      <c r="E35" s="128"/>
      <c r="F35" s="128"/>
      <c r="G35" s="128"/>
    </row>
    <row r="36" spans="2:7" ht="16" customHeight="1" x14ac:dyDescent="0.2"/>
    <row r="37" spans="2:7" ht="26" customHeight="1" x14ac:dyDescent="0.2">
      <c r="B37" s="25" t="s">
        <v>96</v>
      </c>
      <c r="C37" s="26"/>
      <c r="D37" s="26"/>
      <c r="E37" s="26"/>
      <c r="F37" s="26"/>
      <c r="G37" s="26"/>
    </row>
    <row r="38" spans="2:7" ht="16" customHeight="1" x14ac:dyDescent="0.2">
      <c r="B38" s="27" t="s">
        <v>97</v>
      </c>
      <c r="C38" s="44">
        <v>0.21</v>
      </c>
      <c r="D38" s="133" t="s">
        <v>98</v>
      </c>
      <c r="E38" s="128"/>
      <c r="F38" s="128"/>
      <c r="G38" s="128"/>
    </row>
    <row r="39" spans="2:7" ht="16" customHeight="1" x14ac:dyDescent="0.2"/>
    <row r="40" spans="2:7" ht="30" customHeight="1" x14ac:dyDescent="0.2">
      <c r="B40" s="32" t="s">
        <v>99</v>
      </c>
      <c r="C40" s="4" t="s">
        <v>100</v>
      </c>
      <c r="D40" s="4" t="s">
        <v>101</v>
      </c>
      <c r="E40" s="4" t="s">
        <v>102</v>
      </c>
    </row>
    <row r="41" spans="2:7" ht="16" customHeight="1" x14ac:dyDescent="0.2">
      <c r="B41" s="45" t="s">
        <v>103</v>
      </c>
      <c r="C41" s="46">
        <v>37.19</v>
      </c>
      <c r="D41" s="47">
        <f>C41*(1+$C$38)</f>
        <v>44.999899999999997</v>
      </c>
      <c r="E41" s="34">
        <v>0.45</v>
      </c>
    </row>
    <row r="42" spans="2:7" ht="16" customHeight="1" x14ac:dyDescent="0.2">
      <c r="B42" s="45" t="s">
        <v>104</v>
      </c>
      <c r="C42" s="46">
        <v>29.75</v>
      </c>
      <c r="D42" s="47">
        <f>C42*(1+$C$38)</f>
        <v>35.997500000000002</v>
      </c>
      <c r="E42" s="34">
        <v>0.2</v>
      </c>
    </row>
    <row r="43" spans="2:7" ht="16" customHeight="1" x14ac:dyDescent="0.2">
      <c r="B43" s="45" t="s">
        <v>105</v>
      </c>
      <c r="C43" s="46">
        <v>33.06</v>
      </c>
      <c r="D43" s="47">
        <f>C43*(1+$C$38)</f>
        <v>40.002600000000001</v>
      </c>
      <c r="E43" s="34">
        <v>0.2</v>
      </c>
    </row>
    <row r="44" spans="2:7" ht="16" customHeight="1" x14ac:dyDescent="0.2">
      <c r="B44" s="45" t="s">
        <v>106</v>
      </c>
      <c r="C44" s="46">
        <v>49.59</v>
      </c>
      <c r="D44" s="47">
        <f>C44*(1+$C$38)</f>
        <v>60.003900000000002</v>
      </c>
      <c r="E44" s="34">
        <v>0.15</v>
      </c>
    </row>
    <row r="45" spans="2:7" ht="16" customHeight="1" x14ac:dyDescent="0.2">
      <c r="B45" s="30" t="s">
        <v>107</v>
      </c>
      <c r="C45" s="48">
        <f>IFERROR(SUMPRODUCT(C41:C44,E41:E44)/SUM(E41:E44),0)</f>
        <v>36.735999999999997</v>
      </c>
      <c r="D45" s="49">
        <f>C45*(1+$C$38)</f>
        <v>44.450559999999996</v>
      </c>
      <c r="E45" s="50">
        <f>SUM(E41:E44)</f>
        <v>1</v>
      </c>
      <c r="F45" s="51" t="str">
        <f>IF(ABS(E45-1)&lt;0.0005,"Suma 100 %","Revisa: no suma 100 %")</f>
        <v>Suma 100 %</v>
      </c>
    </row>
    <row r="46" spans="2:7" ht="16" customHeight="1" x14ac:dyDescent="0.2"/>
    <row r="47" spans="2:7" ht="16" customHeight="1" x14ac:dyDescent="0.2">
      <c r="B47" s="27" t="s">
        <v>108</v>
      </c>
      <c r="C47" s="46">
        <v>20</v>
      </c>
      <c r="D47" s="133" t="s">
        <v>109</v>
      </c>
      <c r="E47" s="128"/>
      <c r="F47" s="128"/>
      <c r="G47" s="128"/>
    </row>
    <row r="48" spans="2:7" ht="16" customHeight="1" x14ac:dyDescent="0.2">
      <c r="B48" s="27" t="s">
        <v>110</v>
      </c>
      <c r="C48" s="46">
        <v>4</v>
      </c>
      <c r="D48" s="133" t="s">
        <v>111</v>
      </c>
      <c r="E48" s="128"/>
      <c r="F48" s="128"/>
      <c r="G48" s="128"/>
    </row>
    <row r="49" spans="2:7" ht="16" customHeight="1" x14ac:dyDescent="0.2">
      <c r="B49" s="27" t="s">
        <v>112</v>
      </c>
      <c r="C49" s="46">
        <v>1.5</v>
      </c>
      <c r="D49" s="133" t="s">
        <v>113</v>
      </c>
      <c r="E49" s="128"/>
      <c r="F49" s="128"/>
      <c r="G49" s="128"/>
    </row>
    <row r="50" spans="2:7" ht="16" customHeight="1" x14ac:dyDescent="0.2"/>
    <row r="51" spans="2:7" ht="26" customHeight="1" x14ac:dyDescent="0.2">
      <c r="B51" s="25" t="s">
        <v>114</v>
      </c>
      <c r="C51" s="26"/>
      <c r="D51" s="26"/>
      <c r="E51" s="26"/>
      <c r="F51" s="26"/>
      <c r="G51" s="26"/>
    </row>
    <row r="52" spans="2:7" ht="16" customHeight="1" x14ac:dyDescent="0.2">
      <c r="B52" s="27" t="s">
        <v>115</v>
      </c>
      <c r="C52" s="52">
        <v>150</v>
      </c>
      <c r="D52" s="133" t="s">
        <v>116</v>
      </c>
      <c r="E52" s="128"/>
      <c r="F52" s="128"/>
      <c r="G52" s="128"/>
    </row>
    <row r="53" spans="2:7" ht="16" customHeight="1" x14ac:dyDescent="0.2"/>
    <row r="54" spans="2:7" ht="30" customHeight="1" x14ac:dyDescent="0.2">
      <c r="B54" s="32" t="s">
        <v>117</v>
      </c>
      <c r="C54" s="4" t="s">
        <v>118</v>
      </c>
      <c r="D54" s="4" t="s">
        <v>119</v>
      </c>
      <c r="E54" s="136" t="s">
        <v>120</v>
      </c>
      <c r="F54" s="128"/>
      <c r="G54" s="128"/>
    </row>
    <row r="55" spans="2:7" ht="16" customHeight="1" x14ac:dyDescent="0.2">
      <c r="B55" s="7" t="str">
        <f>"Mes 1  ·  "&amp;CHOOSE(MONTH(DATE(YEAR(Supuestos!$C$8),MONTH(Supuestos!$C$8)+(1)-1,1)),"ene","feb","mar","abr","may","jun","jul","ago","sep","oct","nov","dic")&amp;" "&amp;YEAR(DATE(YEAR(Supuestos!$C$8),MONTH(Supuestos!$C$8)+(1)-1,1))</f>
        <v>Mes 1  ·  sep 2027</v>
      </c>
      <c r="C55" s="52">
        <v>75</v>
      </c>
      <c r="D55" s="53">
        <f t="shared" ref="D55:D66" si="0">IFERROR(C55/AVERAGE($C$55:$C$66),0)</f>
        <v>2.0501138952164006</v>
      </c>
      <c r="E55" s="135" t="s">
        <v>121</v>
      </c>
      <c r="F55" s="128"/>
      <c r="G55" s="128"/>
    </row>
    <row r="56" spans="2:7" ht="16" customHeight="1" x14ac:dyDescent="0.2">
      <c r="B56" s="7" t="str">
        <f>"Mes 2  ·  "&amp;CHOOSE(MONTH(DATE(YEAR(Supuestos!$C$8),MONTH(Supuestos!$C$8)+(2)-1,1)),"ene","feb","mar","abr","may","jun","jul","ago","sep","oct","nov","dic")&amp;" "&amp;YEAR(DATE(YEAR(Supuestos!$C$8),MONTH(Supuestos!$C$8)+(2)-1,1))</f>
        <v>Mes 2  ·  oct 2027</v>
      </c>
      <c r="C56" s="52">
        <v>55</v>
      </c>
      <c r="D56" s="53">
        <f t="shared" si="0"/>
        <v>1.5034168564920272</v>
      </c>
      <c r="E56" s="128"/>
      <c r="F56" s="128"/>
      <c r="G56" s="128"/>
    </row>
    <row r="57" spans="2:7" ht="16" customHeight="1" x14ac:dyDescent="0.2">
      <c r="B57" s="7" t="str">
        <f>"Mes 3  ·  "&amp;CHOOSE(MONTH(DATE(YEAR(Supuestos!$C$8),MONTH(Supuestos!$C$8)+(3)-1,1)),"ene","feb","mar","abr","may","jun","jul","ago","sep","oct","nov","dic")&amp;" "&amp;YEAR(DATE(YEAR(Supuestos!$C$8),MONTH(Supuestos!$C$8)+(3)-1,1))</f>
        <v>Mes 3  ·  nov 2027</v>
      </c>
      <c r="C57" s="52">
        <v>40</v>
      </c>
      <c r="D57" s="53">
        <f t="shared" si="0"/>
        <v>1.0933940774487472</v>
      </c>
      <c r="E57" s="128"/>
      <c r="F57" s="128"/>
      <c r="G57" s="128"/>
    </row>
    <row r="58" spans="2:7" ht="16" customHeight="1" x14ac:dyDescent="0.2">
      <c r="B58" s="7" t="str">
        <f>"Mes 4  ·  "&amp;CHOOSE(MONTH(DATE(YEAR(Supuestos!$C$8),MONTH(Supuestos!$C$8)+(4)-1,1)),"ene","feb","mar","abr","may","jun","jul","ago","sep","oct","nov","dic")&amp;" "&amp;YEAR(DATE(YEAR(Supuestos!$C$8),MONTH(Supuestos!$C$8)+(4)-1,1))</f>
        <v>Mes 4  ·  dic 2027</v>
      </c>
      <c r="C58" s="52">
        <v>25</v>
      </c>
      <c r="D58" s="53">
        <f t="shared" si="0"/>
        <v>0.68337129840546695</v>
      </c>
      <c r="E58" s="128"/>
      <c r="F58" s="128"/>
      <c r="G58" s="128"/>
    </row>
    <row r="59" spans="2:7" ht="16" customHeight="1" x14ac:dyDescent="0.2">
      <c r="B59" s="7" t="str">
        <f>"Mes 5  ·  "&amp;CHOOSE(MONTH(DATE(YEAR(Supuestos!$C$8),MONTH(Supuestos!$C$8)+(5)-1,1)),"ene","feb","mar","abr","may","jun","jul","ago","sep","oct","nov","dic")&amp;" "&amp;YEAR(DATE(YEAR(Supuestos!$C$8),MONTH(Supuestos!$C$8)+(5)-1,1))</f>
        <v>Mes 5  ·  ene 2028</v>
      </c>
      <c r="C59" s="52">
        <v>60</v>
      </c>
      <c r="D59" s="53">
        <f t="shared" si="0"/>
        <v>1.6400911161731206</v>
      </c>
      <c r="E59" s="128"/>
      <c r="F59" s="128"/>
      <c r="G59" s="128"/>
    </row>
    <row r="60" spans="2:7" ht="16" customHeight="1" x14ac:dyDescent="0.2">
      <c r="B60" s="7" t="str">
        <f>"Mes 6  ·  "&amp;CHOOSE(MONTH(DATE(YEAR(Supuestos!$C$8),MONTH(Supuestos!$C$8)+(6)-1,1)),"ene","feb","mar","abr","may","jun","jul","ago","sep","oct","nov","dic")&amp;" "&amp;YEAR(DATE(YEAR(Supuestos!$C$8),MONTH(Supuestos!$C$8)+(6)-1,1))</f>
        <v>Mes 6  ·  feb 2028</v>
      </c>
      <c r="C60" s="52">
        <v>40</v>
      </c>
      <c r="D60" s="53">
        <f t="shared" si="0"/>
        <v>1.0933940774487472</v>
      </c>
      <c r="E60" s="128"/>
      <c r="F60" s="128"/>
      <c r="G60" s="128"/>
    </row>
    <row r="61" spans="2:7" ht="16" customHeight="1" x14ac:dyDescent="0.2">
      <c r="B61" s="7" t="str">
        <f>"Mes 7  ·  "&amp;CHOOSE(MONTH(DATE(YEAR(Supuestos!$C$8),MONTH(Supuestos!$C$8)+(7)-1,1)),"ene","feb","mar","abr","may","jun","jul","ago","sep","oct","nov","dic")&amp;" "&amp;YEAR(DATE(YEAR(Supuestos!$C$8),MONTH(Supuestos!$C$8)+(7)-1,1))</f>
        <v>Mes 7  ·  mar 2028</v>
      </c>
      <c r="C61" s="52">
        <v>35</v>
      </c>
      <c r="D61" s="53">
        <f t="shared" si="0"/>
        <v>0.95671981776765369</v>
      </c>
      <c r="E61" s="135" t="s">
        <v>122</v>
      </c>
      <c r="F61" s="128"/>
      <c r="G61" s="128"/>
    </row>
    <row r="62" spans="2:7" ht="16" customHeight="1" x14ac:dyDescent="0.2">
      <c r="B62" s="7" t="str">
        <f>"Mes 8  ·  "&amp;CHOOSE(MONTH(DATE(YEAR(Supuestos!$C$8),MONTH(Supuestos!$C$8)+(8)-1,1)),"ene","feb","mar","abr","may","jun","jul","ago","sep","oct","nov","dic")&amp;" "&amp;YEAR(DATE(YEAR(Supuestos!$C$8),MONTH(Supuestos!$C$8)+(8)-1,1))</f>
        <v>Mes 8  ·  abr 2028</v>
      </c>
      <c r="C62" s="52">
        <v>30</v>
      </c>
      <c r="D62" s="53">
        <f t="shared" si="0"/>
        <v>0.82004555808656032</v>
      </c>
      <c r="E62" s="128"/>
      <c r="F62" s="128"/>
      <c r="G62" s="128"/>
    </row>
    <row r="63" spans="2:7" ht="16" customHeight="1" x14ac:dyDescent="0.2">
      <c r="B63" s="7" t="str">
        <f>"Mes 9  ·  "&amp;CHOOSE(MONTH(DATE(YEAR(Supuestos!$C$8),MONTH(Supuestos!$C$8)+(9)-1,1)),"ene","feb","mar","abr","may","jun","jul","ago","sep","oct","nov","dic")&amp;" "&amp;YEAR(DATE(YEAR(Supuestos!$C$8),MONTH(Supuestos!$C$8)+(9)-1,1))</f>
        <v>Mes 9  ·  may 2028</v>
      </c>
      <c r="C63" s="52">
        <v>30</v>
      </c>
      <c r="D63" s="53">
        <f t="shared" si="0"/>
        <v>0.82004555808656032</v>
      </c>
      <c r="E63" s="128"/>
      <c r="F63" s="128"/>
      <c r="G63" s="128"/>
    </row>
    <row r="64" spans="2:7" ht="16" customHeight="1" x14ac:dyDescent="0.2">
      <c r="B64" s="7" t="str">
        <f>"Mes 10  ·  "&amp;CHOOSE(MONTH(DATE(YEAR(Supuestos!$C$8),MONTH(Supuestos!$C$8)+(10)-1,1)),"ene","feb","mar","abr","may","jun","jul","ago","sep","oct","nov","dic")&amp;" "&amp;YEAR(DATE(YEAR(Supuestos!$C$8),MONTH(Supuestos!$C$8)+(10)-1,1))</f>
        <v>Mes 10  ·  jun 2028</v>
      </c>
      <c r="C64" s="52">
        <v>22</v>
      </c>
      <c r="D64" s="53">
        <f t="shared" si="0"/>
        <v>0.60136674259681089</v>
      </c>
      <c r="E64" s="128"/>
      <c r="F64" s="128"/>
      <c r="G64" s="128"/>
    </row>
    <row r="65" spans="2:7" ht="16" customHeight="1" x14ac:dyDescent="0.2">
      <c r="B65" s="7" t="str">
        <f>"Mes 11  ·  "&amp;CHOOSE(MONTH(DATE(YEAR(Supuestos!$C$8),MONTH(Supuestos!$C$8)+(11)-1,1)),"ene","feb","mar","abr","may","jun","jul","ago","sep","oct","nov","dic")&amp;" "&amp;YEAR(DATE(YEAR(Supuestos!$C$8),MONTH(Supuestos!$C$8)+(11)-1,1))</f>
        <v>Mes 11  ·  jul 2028</v>
      </c>
      <c r="C65" s="52">
        <v>15</v>
      </c>
      <c r="D65" s="53">
        <f t="shared" si="0"/>
        <v>0.41002277904328016</v>
      </c>
      <c r="E65" s="128"/>
      <c r="F65" s="128"/>
      <c r="G65" s="128"/>
    </row>
    <row r="66" spans="2:7" ht="16" customHeight="1" x14ac:dyDescent="0.2">
      <c r="B66" s="7" t="str">
        <f>"Mes 12  ·  "&amp;CHOOSE(MONTH(DATE(YEAR(Supuestos!$C$8),MONTH(Supuestos!$C$8)+(12)-1,1)),"ene","feb","mar","abr","may","jun","jul","ago","sep","oct","nov","dic")&amp;" "&amp;YEAR(DATE(YEAR(Supuestos!$C$8),MONTH(Supuestos!$C$8)+(12)-1,1))</f>
        <v>Mes 12  ·  ago 2028</v>
      </c>
      <c r="C66" s="52">
        <v>12</v>
      </c>
      <c r="D66" s="53">
        <f t="shared" si="0"/>
        <v>0.32801822323462415</v>
      </c>
      <c r="E66" s="128"/>
      <c r="F66" s="128"/>
      <c r="G66" s="128"/>
    </row>
    <row r="67" spans="2:7" ht="16" customHeight="1" x14ac:dyDescent="0.2">
      <c r="B67" s="41" t="s">
        <v>123</v>
      </c>
      <c r="C67" s="54">
        <f>SUM(C55:C66)</f>
        <v>439</v>
      </c>
    </row>
    <row r="68" spans="2:7" ht="16" customHeight="1" x14ac:dyDescent="0.2"/>
    <row r="69" spans="2:7" ht="16" customHeight="1" x14ac:dyDescent="0.2">
      <c r="B69" s="27" t="s">
        <v>124</v>
      </c>
      <c r="C69" s="52">
        <v>34</v>
      </c>
      <c r="D69" s="133" t="s">
        <v>125</v>
      </c>
      <c r="E69" s="128"/>
      <c r="F69" s="128"/>
      <c r="G69" s="128"/>
    </row>
    <row r="70" spans="2:7" ht="16" customHeight="1" x14ac:dyDescent="0.2">
      <c r="B70" s="27" t="s">
        <v>126</v>
      </c>
      <c r="C70" s="52">
        <v>30</v>
      </c>
      <c r="D70" s="133" t="s">
        <v>127</v>
      </c>
      <c r="E70" s="128"/>
      <c r="F70" s="128"/>
      <c r="G70" s="128"/>
    </row>
    <row r="71" spans="2:7" ht="16" customHeight="1" x14ac:dyDescent="0.2">
      <c r="B71" s="27" t="s">
        <v>128</v>
      </c>
      <c r="C71" s="55">
        <v>0.04</v>
      </c>
      <c r="D71" s="133" t="s">
        <v>129</v>
      </c>
      <c r="E71" s="128"/>
      <c r="F71" s="128"/>
      <c r="G71" s="128"/>
    </row>
    <row r="72" spans="2:7" ht="16" customHeight="1" x14ac:dyDescent="0.2">
      <c r="B72" s="27" t="s">
        <v>130</v>
      </c>
      <c r="C72" s="52">
        <v>850</v>
      </c>
      <c r="D72" s="133" t="s">
        <v>131</v>
      </c>
      <c r="E72" s="128"/>
      <c r="F72" s="128"/>
      <c r="G72" s="128"/>
    </row>
    <row r="73" spans="2:7" ht="16" customHeight="1" x14ac:dyDescent="0.2">
      <c r="B73" s="27" t="s">
        <v>132</v>
      </c>
      <c r="C73" s="56">
        <f>IFERROR(ROUND(C70*F12/(C71*F13),0),0)</f>
        <v>750</v>
      </c>
      <c r="D73" s="133" t="str">
        <f>IF(AND(C72&gt;0,C73&gt;C72),"Por encima de tu aforo: el aforo manda.","Altas del año 3 ÷ tasa de bajas: hacia aquí tiende el centro.")</f>
        <v>Altas del año 3 ÷ tasa de bajas: hacia aquí tiende el centro.</v>
      </c>
      <c r="E73" s="128"/>
      <c r="F73" s="128"/>
      <c r="G73" s="128"/>
    </row>
    <row r="74" spans="2:7" ht="16" customHeight="1" x14ac:dyDescent="0.2"/>
    <row r="75" spans="2:7" ht="26" customHeight="1" x14ac:dyDescent="0.2">
      <c r="B75" s="25" t="s">
        <v>133</v>
      </c>
      <c r="C75" s="26"/>
      <c r="D75" s="26"/>
      <c r="E75" s="26"/>
      <c r="F75" s="26"/>
      <c r="G75" s="26"/>
    </row>
    <row r="76" spans="2:7" ht="30" customHeight="1" x14ac:dyDescent="0.2">
      <c r="B76" s="32" t="s">
        <v>134</v>
      </c>
      <c r="C76" s="4" t="s">
        <v>135</v>
      </c>
      <c r="D76" s="4" t="s">
        <v>136</v>
      </c>
      <c r="E76" s="4" t="s">
        <v>137</v>
      </c>
      <c r="F76" s="4" t="s">
        <v>138</v>
      </c>
      <c r="G76" s="4" t="s">
        <v>139</v>
      </c>
    </row>
    <row r="77" spans="2:7" ht="16" customHeight="1" x14ac:dyDescent="0.2">
      <c r="B77" s="45" t="s">
        <v>140</v>
      </c>
      <c r="C77" s="57">
        <v>1</v>
      </c>
      <c r="D77" s="37">
        <v>25000</v>
      </c>
      <c r="E77" s="58">
        <v>0.32</v>
      </c>
      <c r="F77" s="59">
        <f t="shared" ref="F77:F82" si="1">C77*D77*(1+E77)</f>
        <v>33000</v>
      </c>
      <c r="G77" s="59">
        <f t="shared" ref="G77:G82" si="2">F77/12</f>
        <v>2750</v>
      </c>
    </row>
    <row r="78" spans="2:7" ht="16" customHeight="1" x14ac:dyDescent="0.2">
      <c r="B78" s="45" t="s">
        <v>141</v>
      </c>
      <c r="C78" s="57">
        <v>2</v>
      </c>
      <c r="D78" s="37">
        <v>18500</v>
      </c>
      <c r="E78" s="58">
        <v>0.32</v>
      </c>
      <c r="F78" s="59">
        <f t="shared" si="1"/>
        <v>48840</v>
      </c>
      <c r="G78" s="59">
        <f t="shared" si="2"/>
        <v>4070</v>
      </c>
    </row>
    <row r="79" spans="2:7" ht="16" customHeight="1" x14ac:dyDescent="0.2">
      <c r="B79" s="45" t="s">
        <v>142</v>
      </c>
      <c r="C79" s="57">
        <v>0.5</v>
      </c>
      <c r="D79" s="37">
        <v>19000</v>
      </c>
      <c r="E79" s="58">
        <v>0.32</v>
      </c>
      <c r="F79" s="59">
        <f t="shared" si="1"/>
        <v>12540</v>
      </c>
      <c r="G79" s="59">
        <f t="shared" si="2"/>
        <v>1045</v>
      </c>
    </row>
    <row r="80" spans="2:7" ht="16" customHeight="1" x14ac:dyDescent="0.2">
      <c r="B80" s="45" t="s">
        <v>143</v>
      </c>
      <c r="C80" s="57">
        <v>0.5</v>
      </c>
      <c r="D80" s="37">
        <v>17000</v>
      </c>
      <c r="E80" s="58">
        <v>0.32</v>
      </c>
      <c r="F80" s="59">
        <f t="shared" si="1"/>
        <v>11220</v>
      </c>
      <c r="G80" s="59">
        <f t="shared" si="2"/>
        <v>935</v>
      </c>
    </row>
    <row r="81" spans="2:7" ht="16" customHeight="1" x14ac:dyDescent="0.2">
      <c r="B81" s="45"/>
      <c r="C81" s="57"/>
      <c r="D81" s="37"/>
      <c r="E81" s="58"/>
      <c r="F81" s="59">
        <f t="shared" si="1"/>
        <v>0</v>
      </c>
      <c r="G81" s="59">
        <f t="shared" si="2"/>
        <v>0</v>
      </c>
    </row>
    <row r="82" spans="2:7" ht="16" customHeight="1" x14ac:dyDescent="0.2">
      <c r="B82" s="45"/>
      <c r="C82" s="57"/>
      <c r="D82" s="37"/>
      <c r="E82" s="58"/>
      <c r="F82" s="59">
        <f t="shared" si="1"/>
        <v>0</v>
      </c>
      <c r="G82" s="59">
        <f t="shared" si="2"/>
        <v>0</v>
      </c>
    </row>
    <row r="83" spans="2:7" ht="16" customHeight="1" x14ac:dyDescent="0.2">
      <c r="B83" s="41" t="s">
        <v>144</v>
      </c>
      <c r="C83" s="60">
        <f>SUM(C77:C82)</f>
        <v>4</v>
      </c>
      <c r="D83" s="61"/>
      <c r="E83" s="61"/>
      <c r="F83" s="42">
        <f>SUM(F77:F82)</f>
        <v>105600</v>
      </c>
      <c r="G83" s="42">
        <f>SUM(G77:G82)</f>
        <v>8800</v>
      </c>
    </row>
    <row r="84" spans="2:7" ht="16" customHeight="1" x14ac:dyDescent="0.2"/>
    <row r="85" spans="2:7" ht="22" customHeight="1" x14ac:dyDescent="0.2">
      <c r="B85" s="32" t="s">
        <v>145</v>
      </c>
      <c r="C85" s="4" t="s">
        <v>146</v>
      </c>
      <c r="D85" s="136" t="s">
        <v>74</v>
      </c>
      <c r="E85" s="128"/>
      <c r="F85" s="128"/>
      <c r="G85" s="128"/>
    </row>
    <row r="86" spans="2:7" ht="16" customHeight="1" x14ac:dyDescent="0.2">
      <c r="B86" s="33" t="s">
        <v>147</v>
      </c>
      <c r="C86" s="40">
        <f>C19</f>
        <v>3600</v>
      </c>
      <c r="D86" s="133" t="s">
        <v>148</v>
      </c>
      <c r="E86" s="128"/>
      <c r="F86" s="128"/>
      <c r="G86" s="128"/>
    </row>
    <row r="87" spans="2:7" ht="16" customHeight="1" x14ac:dyDescent="0.2">
      <c r="B87" s="33" t="s">
        <v>149</v>
      </c>
      <c r="C87" s="37">
        <v>1500</v>
      </c>
      <c r="D87" s="133" t="s">
        <v>150</v>
      </c>
      <c r="E87" s="128"/>
      <c r="F87" s="128"/>
      <c r="G87" s="128"/>
    </row>
    <row r="88" spans="2:7" ht="16" customHeight="1" x14ac:dyDescent="0.2">
      <c r="B88" s="33" t="s">
        <v>151</v>
      </c>
      <c r="C88" s="37">
        <v>150</v>
      </c>
      <c r="D88" s="133" t="s">
        <v>152</v>
      </c>
      <c r="E88" s="128"/>
      <c r="F88" s="128"/>
      <c r="G88" s="128"/>
    </row>
    <row r="89" spans="2:7" ht="16" customHeight="1" x14ac:dyDescent="0.2">
      <c r="B89" s="33" t="s">
        <v>153</v>
      </c>
      <c r="C89" s="37">
        <v>180</v>
      </c>
      <c r="D89" s="133" t="s">
        <v>154</v>
      </c>
      <c r="E89" s="128"/>
      <c r="F89" s="128"/>
      <c r="G89" s="128"/>
    </row>
    <row r="90" spans="2:7" ht="16" customHeight="1" x14ac:dyDescent="0.2">
      <c r="B90" s="33" t="s">
        <v>155</v>
      </c>
      <c r="C90" s="37">
        <v>400</v>
      </c>
      <c r="D90" s="133" t="s">
        <v>156</v>
      </c>
      <c r="E90" s="128"/>
      <c r="F90" s="128"/>
      <c r="G90" s="128"/>
    </row>
    <row r="91" spans="2:7" ht="16" customHeight="1" x14ac:dyDescent="0.2">
      <c r="B91" s="33" t="s">
        <v>157</v>
      </c>
      <c r="C91" s="37">
        <v>1100</v>
      </c>
      <c r="D91" s="133" t="s">
        <v>158</v>
      </c>
      <c r="E91" s="128"/>
      <c r="F91" s="128"/>
      <c r="G91" s="128"/>
    </row>
    <row r="92" spans="2:7" ht="16" customHeight="1" x14ac:dyDescent="0.2">
      <c r="B92" s="33" t="s">
        <v>159</v>
      </c>
      <c r="C92" s="37">
        <v>300</v>
      </c>
      <c r="D92" s="133" t="s">
        <v>160</v>
      </c>
      <c r="E92" s="128"/>
      <c r="F92" s="128"/>
      <c r="G92" s="128"/>
    </row>
    <row r="93" spans="2:7" ht="16" customHeight="1" x14ac:dyDescent="0.2">
      <c r="B93" s="33" t="s">
        <v>161</v>
      </c>
      <c r="C93" s="37">
        <v>800</v>
      </c>
      <c r="D93" s="133" t="s">
        <v>162</v>
      </c>
      <c r="E93" s="128"/>
      <c r="F93" s="128"/>
      <c r="G93" s="128"/>
    </row>
    <row r="94" spans="2:7" ht="16" customHeight="1" x14ac:dyDescent="0.2">
      <c r="B94" s="33" t="s">
        <v>163</v>
      </c>
      <c r="C94" s="37">
        <v>500</v>
      </c>
      <c r="D94" s="133" t="s">
        <v>164</v>
      </c>
      <c r="E94" s="128"/>
      <c r="F94" s="128"/>
      <c r="G94" s="128"/>
    </row>
    <row r="95" spans="2:7" ht="16" customHeight="1" x14ac:dyDescent="0.2">
      <c r="B95" s="41" t="s">
        <v>165</v>
      </c>
      <c r="C95" s="42">
        <f>G83+SUM(C86:C94)</f>
        <v>17330</v>
      </c>
      <c r="D95" s="133" t="str">
        <f>IFERROR("Personal: "&amp;FIXED(G83/C95*100,0)&amp;" % · alquiler: "&amp;FIXED(C86/C95*100,0)&amp;" % de los gastos fijos.","")</f>
        <v>Personal: 51 % · alquiler: 21 % de los gastos fijos.</v>
      </c>
      <c r="E95" s="128"/>
      <c r="F95" s="128"/>
      <c r="G95" s="128"/>
    </row>
    <row r="96" spans="2:7" ht="16" customHeight="1" x14ac:dyDescent="0.2"/>
    <row r="97" spans="2:7" ht="26" customHeight="1" x14ac:dyDescent="0.2">
      <c r="B97" s="25" t="s">
        <v>166</v>
      </c>
      <c r="C97" s="26"/>
      <c r="D97" s="26"/>
      <c r="E97" s="26"/>
      <c r="F97" s="26"/>
      <c r="G97" s="26"/>
    </row>
    <row r="98" spans="2:7" ht="16" customHeight="1" x14ac:dyDescent="0.2">
      <c r="B98" s="27" t="s">
        <v>167</v>
      </c>
      <c r="C98" s="55">
        <v>1.2E-2</v>
      </c>
      <c r="D98" s="133" t="s">
        <v>168</v>
      </c>
      <c r="E98" s="128"/>
      <c r="F98" s="128"/>
      <c r="G98" s="128"/>
    </row>
    <row r="99" spans="2:7" ht="16" customHeight="1" x14ac:dyDescent="0.2">
      <c r="B99" s="27" t="s">
        <v>169</v>
      </c>
      <c r="C99" s="44">
        <v>0.5</v>
      </c>
      <c r="D99" s="133" t="s">
        <v>170</v>
      </c>
      <c r="E99" s="128"/>
      <c r="F99" s="128"/>
      <c r="G99" s="128"/>
    </row>
    <row r="100" spans="2:7" ht="16" customHeight="1" x14ac:dyDescent="0.2"/>
    <row r="101" spans="2:7" ht="26" customHeight="1" x14ac:dyDescent="0.2">
      <c r="B101" s="25" t="s">
        <v>171</v>
      </c>
      <c r="C101" s="26"/>
      <c r="D101" s="26"/>
      <c r="E101" s="26"/>
      <c r="F101" s="26"/>
      <c r="G101" s="26"/>
    </row>
    <row r="102" spans="2:7" ht="16" customHeight="1" x14ac:dyDescent="0.2">
      <c r="B102" s="27" t="s">
        <v>172</v>
      </c>
      <c r="C102" s="37">
        <v>80000</v>
      </c>
      <c r="D102" s="133" t="s">
        <v>173</v>
      </c>
      <c r="E102" s="128"/>
      <c r="F102" s="128"/>
      <c r="G102" s="128"/>
    </row>
    <row r="103" spans="2:7" ht="16" customHeight="1" x14ac:dyDescent="0.2">
      <c r="B103" s="27" t="s">
        <v>174</v>
      </c>
      <c r="C103" s="37">
        <v>150000</v>
      </c>
      <c r="D103" s="133" t="s">
        <v>175</v>
      </c>
      <c r="E103" s="128"/>
      <c r="F103" s="128"/>
      <c r="G103" s="128"/>
    </row>
    <row r="104" spans="2:7" ht="16" customHeight="1" x14ac:dyDescent="0.2">
      <c r="B104" s="27" t="s">
        <v>176</v>
      </c>
      <c r="C104" s="55">
        <v>0.06</v>
      </c>
      <c r="D104" s="133" t="s">
        <v>177</v>
      </c>
      <c r="E104" s="128"/>
      <c r="F104" s="128"/>
      <c r="G104" s="128"/>
    </row>
    <row r="105" spans="2:7" ht="16" customHeight="1" x14ac:dyDescent="0.2">
      <c r="B105" s="27" t="s">
        <v>178</v>
      </c>
      <c r="C105" s="43">
        <v>7</v>
      </c>
      <c r="D105" s="133" t="s">
        <v>179</v>
      </c>
      <c r="E105" s="128"/>
      <c r="F105" s="128"/>
      <c r="G105" s="128"/>
    </row>
    <row r="106" spans="2:7" ht="16" customHeight="1" x14ac:dyDescent="0.2">
      <c r="B106" s="27" t="s">
        <v>180</v>
      </c>
      <c r="C106" s="38">
        <v>6</v>
      </c>
      <c r="D106" s="133" t="s">
        <v>181</v>
      </c>
      <c r="E106" s="128"/>
      <c r="F106" s="128"/>
      <c r="G106" s="128"/>
    </row>
    <row r="107" spans="2:7" ht="16" customHeight="1" x14ac:dyDescent="0.2">
      <c r="B107" s="27" t="s">
        <v>182</v>
      </c>
      <c r="C107" s="62">
        <f>C103*C104/12</f>
        <v>750</v>
      </c>
    </row>
    <row r="108" spans="2:7" ht="16" customHeight="1" x14ac:dyDescent="0.2">
      <c r="B108" s="27" t="s">
        <v>183</v>
      </c>
      <c r="C108" s="48">
        <f>IFERROR(PMT(C104/12,C105*12-C106,-C103),0)</f>
        <v>2327.1337741042303</v>
      </c>
    </row>
    <row r="109" spans="2:7" ht="16" customHeight="1" x14ac:dyDescent="0.2">
      <c r="B109" s="30" t="s">
        <v>184</v>
      </c>
      <c r="C109" s="63">
        <f>C102+C103-C33</f>
        <v>53800</v>
      </c>
      <c r="D109" s="133" t="str">
        <f>IF(C109&lt;0,"Tu financiación no cubre ni la inversión inicial.","Aportación + préstamo − inversión inicial.")</f>
        <v>Aportación + préstamo − inversión inicial.</v>
      </c>
      <c r="E109" s="128"/>
      <c r="F109" s="128"/>
      <c r="G109" s="128"/>
    </row>
    <row r="110" spans="2:7" ht="16" customHeight="1" x14ac:dyDescent="0.2"/>
    <row r="111" spans="2:7" ht="26" customHeight="1" x14ac:dyDescent="0.2">
      <c r="B111" s="25" t="s">
        <v>185</v>
      </c>
      <c r="C111" s="26"/>
      <c r="D111" s="26"/>
      <c r="E111" s="26"/>
      <c r="F111" s="26"/>
      <c r="G111" s="26"/>
    </row>
    <row r="112" spans="2:7" ht="16" customHeight="1" x14ac:dyDescent="0.2">
      <c r="B112" s="27" t="s">
        <v>186</v>
      </c>
      <c r="C112" s="55">
        <v>2.5000000000000001E-2</v>
      </c>
      <c r="D112" s="133" t="s">
        <v>187</v>
      </c>
      <c r="E112" s="128"/>
      <c r="F112" s="128"/>
      <c r="G112" s="128"/>
    </row>
    <row r="113" spans="2:7" ht="16" customHeight="1" x14ac:dyDescent="0.2">
      <c r="B113" s="27" t="s">
        <v>188</v>
      </c>
      <c r="C113" s="55">
        <v>0.03</v>
      </c>
      <c r="D113" s="133" t="s">
        <v>189</v>
      </c>
      <c r="E113" s="128"/>
      <c r="F113" s="128"/>
      <c r="G113" s="128"/>
    </row>
  </sheetData>
  <mergeCells count="53">
    <mergeCell ref="E7:G7"/>
    <mergeCell ref="B15:G15"/>
    <mergeCell ref="D99:G99"/>
    <mergeCell ref="E54:G54"/>
    <mergeCell ref="D31:G31"/>
    <mergeCell ref="D52:G52"/>
    <mergeCell ref="D21:G21"/>
    <mergeCell ref="E55:G60"/>
    <mergeCell ref="D86:G86"/>
    <mergeCell ref="D49:G49"/>
    <mergeCell ref="D95:G95"/>
    <mergeCell ref="D27:G27"/>
    <mergeCell ref="D32:G32"/>
    <mergeCell ref="D70:G70"/>
    <mergeCell ref="D48:G48"/>
    <mergeCell ref="C7:D7"/>
    <mergeCell ref="D20:G20"/>
    <mergeCell ref="D19:G19"/>
    <mergeCell ref="D34:G34"/>
    <mergeCell ref="D90:G90"/>
    <mergeCell ref="D109:G109"/>
    <mergeCell ref="D105:G105"/>
    <mergeCell ref="D104:G104"/>
    <mergeCell ref="D91:G91"/>
    <mergeCell ref="D47:G47"/>
    <mergeCell ref="D72:G72"/>
    <mergeCell ref="D87:G87"/>
    <mergeCell ref="D106:G106"/>
    <mergeCell ref="D103:G103"/>
    <mergeCell ref="D28:G28"/>
    <mergeCell ref="D93:G93"/>
    <mergeCell ref="D113:G113"/>
    <mergeCell ref="D89:G89"/>
    <mergeCell ref="D85:G85"/>
    <mergeCell ref="D88:G88"/>
    <mergeCell ref="D94:G94"/>
    <mergeCell ref="D112:G112"/>
    <mergeCell ref="D102:G102"/>
    <mergeCell ref="D71:G71"/>
    <mergeCell ref="D9:G9"/>
    <mergeCell ref="D8:G8"/>
    <mergeCell ref="D25:G25"/>
    <mergeCell ref="E61:G66"/>
    <mergeCell ref="D92:G92"/>
    <mergeCell ref="D24:G24"/>
    <mergeCell ref="D30:G30"/>
    <mergeCell ref="D98:G98"/>
    <mergeCell ref="D29:G29"/>
    <mergeCell ref="D73:G73"/>
    <mergeCell ref="D38:G38"/>
    <mergeCell ref="D26:G26"/>
    <mergeCell ref="D35:G35"/>
    <mergeCell ref="D69:G69"/>
  </mergeCells>
  <conditionalFormatting sqref="C55:C66">
    <cfRule type="dataBar" priority="3">
      <dataBar>
        <cfvo type="num" val="0"/>
        <cfvo type="max"/>
        <color rgb="FF1DD6C1"/>
      </dataBar>
    </cfRule>
  </conditionalFormatting>
  <conditionalFormatting sqref="C73">
    <cfRule type="expression" dxfId="41" priority="4">
      <formula>AND($C$72&gt;0,$C$73&gt;$C$72)</formula>
    </cfRule>
  </conditionalFormatting>
  <conditionalFormatting sqref="C109">
    <cfRule type="cellIs" dxfId="40" priority="5" operator="lessThan">
      <formula>0</formula>
    </cfRule>
  </conditionalFormatting>
  <conditionalFormatting sqref="F45">
    <cfRule type="expression" dxfId="39" priority="1">
      <formula>ABS($E$45-1)&lt;0.0005</formula>
    </cfRule>
    <cfRule type="expression" dxfId="38" priority="2">
      <formula>ABS($E$45-1)&gt;=0.0005</formula>
    </cfRule>
  </conditionalFormatting>
  <dataValidations count="6">
    <dataValidation type="decimal" allowBlank="1" showErrorMessage="1" errorTitle="Porcentaje" error="Escribe un porcentaje entre 0 % y 100 %." sqref="C38 C71 C98 C99 C104 C112 C113 E41 E42 E43 E44 E77 E78 E79 E80 E81 E82" xr:uid="{00000000-0002-0000-0100-000000000000}">
      <formula1>0</formula1>
      <formula2>1</formula2>
    </dataValidation>
    <dataValidation type="decimal" allowBlank="1" showErrorMessage="1" errorTitle="Multiplicador" error="Escribe un porcentaje entre 0 % y 300 % (100 % = sin cambio)." sqref="C12 C13 C14 D12 D13 D14 E12 E13 E14" xr:uid="{00000000-0002-0000-0100-000001000000}">
      <formula1>0</formula1>
      <formula2>3</formula2>
    </dataValidation>
    <dataValidation type="decimal" operator="greaterThanOrEqual" allowBlank="1" showErrorMessage="1" errorTitle="Número" error="Escribe un número igual o mayor que 0." sqref="C18 C19 C20 C21 C27 C28 C29 C30 C31 C32 C34 C35 C41 C42 C43 C44 C47 C48 C49 C69 C70 C77 C78 C79 C80 C81 C82 C87 C88 C89 C90 C91 C92 C93 C94 C102 C103 C105 D77 D78 D79 D80 D81 D82" xr:uid="{00000000-0002-0000-0100-000002000000}">
      <formula1>0</formula1>
    </dataValidation>
    <dataValidation type="whole" operator="greaterThanOrEqual" allowBlank="1" showErrorMessage="1" errorTitle="Número entero" error="Escribe un número entero igual o mayor que 0." sqref="C52 C55 C56 C57 C58 C59 C60 C61 C62 C63 C64 C65 C66 C72 C106" xr:uid="{00000000-0002-0000-0100-000003000000}">
      <formula1>0</formula1>
    </dataValidation>
    <dataValidation type="date" operator="greaterThan" allowBlank="1" showErrorMessage="1" errorTitle="Fecha" error="Escribe una fecha (dd/mm/aaaa), por ejemplo 01/09/2027." sqref="C8" xr:uid="{00000000-0002-0000-0100-000004000000}">
      <formula1>DATE(2000,1,1)</formula1>
    </dataValidation>
    <dataValidation type="list" showErrorMessage="1" errorTitle="Escenario" error="Elige Pesimista, Realista u Optimista." sqref="C9" xr:uid="{00000000-0002-0000-0100-000005000000}">
      <formula1>"Pesimista,Realista,Optimista"</formula1>
    </dataValidation>
  </dataValidations>
  <printOptions horizontalCentered="1"/>
  <pageMargins left="0.45" right="0.45" top="0.6" bottom="0.6" header="0.25" footer="0.25"/>
  <pageSetup paperSize="9" fitToHeight="0" orientation="portrait"/>
  <headerFooter>
    <oddHeader>&amp;L&amp;"Arial,Bold"&amp;8 &amp;K5C697D&amp;A&amp;R&amp;"Arial,Regular"&amp;8 &amp;K5C697DPlan de viabilidad</oddHeader>
    <oddFooter>&amp;L&amp;"Arial,Regular"&amp;8 &amp;K5C697DPlantilla gratuita de GymGym · gymgym.es/recursos&amp;R&amp;"Arial,Regular"&amp;8 &amp;K5C697DPágina &amp;P de &amp;N</oddFooter>
    <evenHeader>&amp;L&amp;"Arial,Bold"&amp;8 &amp;K5C697D&amp;A&amp;R&amp;"Arial,Regular"&amp;8 &amp;K5C697DPlan de viabilidad</evenHeader>
    <evenFooter>&amp;L&amp;"Arial,Regular"&amp;8 &amp;K5C697DPlantilla gratuita de GymGym · gymgym.es/recursos&amp;R&amp;"Arial,Regular"&amp;8 &amp;K5C697DPágina &amp;P de &amp;N</evenFooter>
    <firstHeader>&amp;L&amp;"Arial,Bold"&amp;8 &amp;K5C697D&amp;A&amp;R&amp;"Arial,Regular"&amp;8 &amp;K5C697DPlan de viabilidad</firstHeader>
    <firstFooter>&amp;L&amp;"Arial,Regular"&amp;8 &amp;K5C697DPlantilla gratuita de GymGym · gymgym.es/recursos&amp;R&amp;"Arial,Regular"&amp;8 &amp;K5C697DPágina &amp;P de &amp;N</firstFooter>
  </headerFooter>
  <rowBreaks count="2" manualBreakCount="2">
    <brk id="50" max="16383" man="1"/>
    <brk id="96" max="16383" man="1"/>
  </rowBreaks>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4A3CCF"/>
    <pageSetUpPr fitToPage="1"/>
  </sheetPr>
  <dimension ref="B1:P57"/>
  <sheetViews>
    <sheetView showGridLines="0" workbookViewId="0"/>
  </sheetViews>
  <sheetFormatPr baseColWidth="10" defaultColWidth="8.83203125" defaultRowHeight="15" x14ac:dyDescent="0.2"/>
  <cols>
    <col min="1" max="1" width="2.5" customWidth="1"/>
    <col min="2" max="4" width="7.6640625" customWidth="1"/>
    <col min="5" max="5" width="1.6640625" customWidth="1"/>
    <col min="6" max="8" width="7.6640625" customWidth="1"/>
    <col min="9" max="9" width="1.6640625" customWidth="1"/>
    <col min="10" max="12" width="7.6640625" customWidth="1"/>
    <col min="13" max="13" width="1.6640625" customWidth="1"/>
    <col min="14" max="16" width="7.6640625" customWidth="1"/>
    <col min="17" max="17" width="2.5" customWidth="1"/>
  </cols>
  <sheetData>
    <row r="1" spans="2:16" ht="34" customHeight="1" x14ac:dyDescent="0.25">
      <c r="B1" s="21" t="str">
        <f>IF(Supuestos!$C$7="","Plan de viabilidad","Plan de viabilidad · "&amp;Supuestos!$C$7)</f>
        <v>Plan de viabilidad · Centro de ejemplo</v>
      </c>
    </row>
    <row r="2" spans="2:16" ht="20" customHeight="1" x14ac:dyDescent="0.2">
      <c r="B2" s="19" t="str">
        <f>"Escenario "&amp;LOWER(Supuestos!$C$9)&amp;"   ·   apertura en "&amp;CHOOSE(MONTH(DATE(YEAR(Supuestos!$C$8),MONTH(Supuestos!$C$8)+(1)-1,1)),"enero","febrero","marzo","abril","mayo","junio","julio","agosto","septiembre","octubre","noviembre","diciembre")&amp;" de "&amp;YEAR(DATE(YEAR(Supuestos!$C$8),MONTH(Supuestos!$C$8)+(1)-1,1))&amp;"   ·   importes sin IVA, antes de impuestos"</f>
        <v>Escenario realista   ·   apertura en septiembre de 2027   ·   importes sin IVA, antes de impuestos</v>
      </c>
    </row>
    <row r="3" spans="2:16" ht="5" customHeight="1" x14ac:dyDescent="0.2">
      <c r="B3" s="2"/>
      <c r="C3" s="2"/>
      <c r="D3" s="2"/>
      <c r="E3" s="2"/>
      <c r="F3" s="2"/>
      <c r="G3" s="2"/>
      <c r="H3" s="2"/>
      <c r="I3" s="2"/>
      <c r="J3" s="2"/>
      <c r="K3" s="2"/>
      <c r="L3" s="2"/>
      <c r="M3" s="2"/>
      <c r="N3" s="2"/>
      <c r="O3" s="2"/>
      <c r="P3" s="2"/>
    </row>
    <row r="4" spans="2:16" ht="10" customHeight="1" x14ac:dyDescent="0.2"/>
    <row r="5" spans="2:16" ht="20" customHeight="1" x14ac:dyDescent="0.2">
      <c r="B5" s="144" t="s">
        <v>190</v>
      </c>
      <c r="C5" s="145"/>
      <c r="D5" s="145"/>
      <c r="F5" s="144" t="s">
        <v>191</v>
      </c>
      <c r="G5" s="145"/>
      <c r="H5" s="145"/>
      <c r="J5" s="144" t="s">
        <v>192</v>
      </c>
      <c r="K5" s="145"/>
      <c r="L5" s="145"/>
      <c r="N5" s="144" t="s">
        <v>193</v>
      </c>
      <c r="O5" s="145"/>
      <c r="P5" s="145"/>
    </row>
    <row r="6" spans="2:16" ht="30" customHeight="1" x14ac:dyDescent="0.2">
      <c r="B6" s="149">
        <f>'Punto de equilibrio'!$C$23</f>
        <v>176200</v>
      </c>
      <c r="C6" s="128"/>
      <c r="D6" s="128"/>
      <c r="F6" s="149">
        <f>'Punto de equilibrio'!$C$26</f>
        <v>233813.1775886254</v>
      </c>
      <c r="G6" s="128"/>
      <c r="H6" s="128"/>
      <c r="J6" s="140">
        <f>'Punto de equilibrio'!$C$14</f>
        <v>445</v>
      </c>
      <c r="K6" s="128"/>
      <c r="L6" s="128"/>
      <c r="N6" s="154" t="str">
        <f>IF(ISNUMBER('Punto de equilibrio'!$C$20),"Mes "&amp;'Punto de equilibrio'!$C$20,"&gt; 36 meses")</f>
        <v>Mes 9</v>
      </c>
      <c r="O6" s="128"/>
      <c r="P6" s="128"/>
    </row>
    <row r="7" spans="2:16" ht="26" customHeight="1" x14ac:dyDescent="0.2">
      <c r="B7" s="139" t="str">
        <f>"Obra, equipamiento, licencias y apertura"</f>
        <v>Obra, equipamiento, licencias y apertura</v>
      </c>
      <c r="C7" s="128"/>
      <c r="D7" s="128"/>
      <c r="F7" s="139" t="str">
        <f>"Tienes "&amp;FIXED('Punto de equilibrio'!$C$27,0)&amp;" €: "&amp;IF('Punto de equilibrio'!$C$28&gt;=0,"te sobran ","te faltan ")&amp;FIXED(ABS('Punto de equilibrio'!$C$28),0)&amp;" €"</f>
        <v>Tienes 230.000 €: te faltan 3.813 €</v>
      </c>
      <c r="G7" s="128"/>
      <c r="H7" s="128"/>
      <c r="J7" s="139" t="str">
        <f>"Año 1 · "&amp;FIXED('Punto de equilibrio'!$C$16,0)&amp;" con la cuota del préstamo"</f>
        <v>Año 1 · 485 con la cuota del préstamo</v>
      </c>
      <c r="K7" s="128"/>
      <c r="L7" s="128"/>
      <c r="N7" s="139" t="str">
        <f>IF(ISNUMBER('Punto de equilibrio'!$C$20),CHOOSE(MONTH(DATE(YEAR(Supuestos!$C$8),MONTH(Supuestos!$C$8)+('Punto de equilibrio'!$C$20)-1,1)),"enero","febrero","marzo","abril","mayo","junio","julio","agosto","septiembre","octubre","noviembre","diciembre")&amp;" de "&amp;YEAR(DATE(YEAR(Supuestos!$C$8),MONTH(Supuestos!$C$8)+('Punto de equilibrio'!$C$20)-1,1)),"No llega en la previsión")</f>
        <v>mayo de 2028</v>
      </c>
      <c r="O7" s="128"/>
      <c r="P7" s="128"/>
    </row>
    <row r="8" spans="2:16" ht="10" customHeight="1" x14ac:dyDescent="0.2"/>
    <row r="9" spans="2:16" ht="20" customHeight="1" x14ac:dyDescent="0.2">
      <c r="B9" s="144" t="s">
        <v>194</v>
      </c>
      <c r="C9" s="145"/>
      <c r="D9" s="145"/>
      <c r="F9" s="144" t="s">
        <v>195</v>
      </c>
      <c r="G9" s="145"/>
      <c r="H9" s="145"/>
      <c r="J9" s="144" t="s">
        <v>196</v>
      </c>
      <c r="K9" s="145"/>
      <c r="L9" s="145"/>
      <c r="N9" s="144" t="s">
        <v>197</v>
      </c>
      <c r="O9" s="145"/>
      <c r="P9" s="145"/>
    </row>
    <row r="10" spans="2:16" ht="30" customHeight="1" x14ac:dyDescent="0.2">
      <c r="B10" s="149">
        <f>'Cuenta de resultados'!$C$36</f>
        <v>-55331.298381010143</v>
      </c>
      <c r="C10" s="128"/>
      <c r="D10" s="128"/>
      <c r="F10" s="149">
        <f>'Cuenta de resultados'!$E$36</f>
        <v>39811.888577894642</v>
      </c>
      <c r="G10" s="128"/>
      <c r="H10" s="128"/>
      <c r="J10" s="149">
        <f>'Cuenta de resultados'!$G$36</f>
        <v>82352.67834918297</v>
      </c>
      <c r="K10" s="128"/>
      <c r="L10" s="128"/>
      <c r="N10" s="149">
        <f>'Punto de equilibrio'!$C$21</f>
        <v>11186.822411374604</v>
      </c>
      <c r="O10" s="128"/>
      <c r="P10" s="128"/>
    </row>
    <row r="11" spans="2:16" ht="26" customHeight="1" x14ac:dyDescent="0.2">
      <c r="B11" s="139" t="str">
        <f>"EBITDA "&amp;FIXED('Cuenta de resultados'!$C$30,0)&amp;" €"</f>
        <v>EBITDA -24.150 €</v>
      </c>
      <c r="C11" s="128"/>
      <c r="D11" s="128"/>
      <c r="F11" s="139" t="str">
        <f>"EBITDA "&amp;FIXED('Cuenta de resultados'!$E$30,0)&amp;" €"</f>
        <v>EBITDA 63.992 €</v>
      </c>
      <c r="G11" s="128"/>
      <c r="H11" s="128"/>
      <c r="J11" s="139" t="str">
        <f>"EBITDA "&amp;FIXED('Cuenta de resultados'!$G$30,0)&amp;" €"</f>
        <v>EBITDA 105.296 €</v>
      </c>
      <c r="K11" s="128"/>
      <c r="L11" s="128"/>
      <c r="N11" s="139" t="str">
        <f>IF('Punto de equilibrio'!$C$22=0,"El día que abres","En el mes "&amp;'Punto de equilibrio'!$C$22&amp;" · "&amp;CHOOSE(MONTH(DATE(YEAR(Supuestos!$C$8),MONTH(Supuestos!$C$8)+('Punto de equilibrio'!$C$22)-1,1)),"ene","feb","mar","abr","may","jun","jul","ago","sep","oct","nov","dic")&amp;" "&amp;YEAR(DATE(YEAR(Supuestos!$C$8),MONTH(Supuestos!$C$8)+('Punto de equilibrio'!$C$22)-1,1)))</f>
        <v>En el mes 12 · ago 2028</v>
      </c>
      <c r="O11" s="128"/>
      <c r="P11" s="128"/>
    </row>
    <row r="12" spans="2:16" ht="12" customHeight="1" x14ac:dyDescent="0.2"/>
    <row r="13" spans="2:16" ht="17" customHeight="1" x14ac:dyDescent="0.2">
      <c r="B13" s="150" t="str">
        <f>IF('Cuenta de resultados'!$C$13+'Cuenta de resultados'!$E$13+'Cuenta de resultados'!$G$13=0,"Rellena la hoja «Supuestos» (las celdas verde agua) y aquí verás si tu plan se sostiene.",IF(ISNUMBER('Punto de equilibrio'!$C$20),"Con estos supuestos cubres gastos en el mes "&amp;'Punto de equilibrio'!$C$20&amp;" ("&amp;CHOOSE(MONTH(DATE(YEAR(Supuestos!$C$8),MONTH(Supuestos!$C$8)+('Punto de equilibrio'!$C$20)-1,1)),"enero","febrero","marzo","abril","mayo","junio","julio","agosto","septiembre","octubre","noviembre","diciembre")&amp;" de "&amp;YEAR(DATE(YEAR(Supuestos!$C$8),MONTH(Supuestos!$C$8)+('Punto de equilibrio'!$C$20)-1,1))&amp;")","Con estos supuestos no llegas a cubrir gastos en los 36 meses")&amp;" y la caja mínima es de "&amp;FIXED('Punto de equilibrio'!$C$21,0)&amp;" €"&amp;IF('Punto de equilibrio'!$C$22=0," el día que abres."," en el mes "&amp;'Punto de equilibrio'!$C$22&amp;" ("&amp;CHOOSE(MONTH(DATE(YEAR(Supuestos!$C$8),MONTH(Supuestos!$C$8)+('Punto de equilibrio'!$C$22)-1,1)),"enero","febrero","marzo","abril","mayo","junio","julio","agosto","septiembre","octubre","noviembre","diciembre")&amp;" de "&amp;YEAR(DATE(YEAR(Supuestos!$C$8),MONTH(Supuestos!$C$8)+('Punto de equilibrio'!$C$22)-1,1))&amp;")"&amp;IF(AND('Punto de equilibrio'!$C$22=36,'Previsión 36 meses'!$N$118&lt;0),", y sigue bajando.","."))&amp;IF('Punto de equilibrio'!$C$21&lt;0," Te faltan "&amp;FIXED(-'Punto de equilibrio'!$C$21,0)&amp;" € para no quedarte en números rojos: necesitas más financiación o menos inversión.",IF('Punto de equilibrio'!$C$21&lt;Supuestos!$C$34," Vas justo: es menos que tu colchón de "&amp;FIXED(Supuestos!$C$34,0)&amp;" €."," Tu financiación aguanta el peor mes con margen."))&amp;IF(ISNUMBER('Punto de equilibrio'!$C$29)," Recuperas la inversión en unos "&amp;'Punto de equilibrio'!$C$29&amp;" meses."," Con este ritmo no recuperas la inversión en 10 años."))</f>
        <v>Con estos supuestos cubres gastos en el mes 9 (mayo de 2028) y la caja mínima es de 11.187 € en el mes 12 (agosto de 2028). Vas justo: es menos que tu colchón de 15.000 €. Recuperas la inversión en unos 41 meses.</v>
      </c>
      <c r="C13" s="128"/>
      <c r="D13" s="128"/>
      <c r="E13" s="128"/>
      <c r="F13" s="128"/>
      <c r="G13" s="128"/>
      <c r="H13" s="128"/>
      <c r="I13" s="128"/>
      <c r="J13" s="128"/>
      <c r="K13" s="128"/>
      <c r="L13" s="128"/>
      <c r="M13" s="128"/>
      <c r="N13" s="128"/>
      <c r="O13" s="128"/>
      <c r="P13" s="128"/>
    </row>
    <row r="14" spans="2:16" ht="17" customHeight="1" x14ac:dyDescent="0.2">
      <c r="B14" s="151"/>
      <c r="C14" s="128"/>
      <c r="D14" s="128"/>
      <c r="E14" s="128"/>
      <c r="F14" s="128"/>
      <c r="G14" s="128"/>
      <c r="H14" s="128"/>
      <c r="I14" s="128"/>
      <c r="J14" s="128"/>
      <c r="K14" s="128"/>
      <c r="L14" s="128"/>
      <c r="M14" s="128"/>
      <c r="N14" s="128"/>
      <c r="O14" s="128"/>
      <c r="P14" s="128"/>
    </row>
    <row r="15" spans="2:16" ht="17" customHeight="1" x14ac:dyDescent="0.2">
      <c r="B15" s="151"/>
      <c r="C15" s="128"/>
      <c r="D15" s="128"/>
      <c r="E15" s="128"/>
      <c r="F15" s="128"/>
      <c r="G15" s="128"/>
      <c r="H15" s="128"/>
      <c r="I15" s="128"/>
      <c r="J15" s="128"/>
      <c r="K15" s="128"/>
      <c r="L15" s="128"/>
      <c r="M15" s="128"/>
      <c r="N15" s="128"/>
      <c r="O15" s="128"/>
      <c r="P15" s="128"/>
    </row>
    <row r="16" spans="2:16" ht="12" customHeight="1" x14ac:dyDescent="0.2"/>
    <row r="17" spans="2:10" ht="20" customHeight="1" x14ac:dyDescent="0.2">
      <c r="B17" s="9" t="s">
        <v>198</v>
      </c>
      <c r="G17" s="64" t="s">
        <v>199</v>
      </c>
    </row>
    <row r="18" spans="2:10" ht="15" customHeight="1" x14ac:dyDescent="0.2"/>
    <row r="19" spans="2:10" ht="15" customHeight="1" x14ac:dyDescent="0.2"/>
    <row r="20" spans="2:10" ht="15" customHeight="1" x14ac:dyDescent="0.2"/>
    <row r="21" spans="2:10" ht="15" customHeight="1" x14ac:dyDescent="0.2"/>
    <row r="22" spans="2:10" ht="15" customHeight="1" x14ac:dyDescent="0.2"/>
    <row r="23" spans="2:10" ht="15" customHeight="1" x14ac:dyDescent="0.2"/>
    <row r="24" spans="2:10" ht="15" customHeight="1" x14ac:dyDescent="0.2"/>
    <row r="25" spans="2:10" ht="15" customHeight="1" x14ac:dyDescent="0.2"/>
    <row r="26" spans="2:10" ht="15" customHeight="1" x14ac:dyDescent="0.2"/>
    <row r="27" spans="2:10" ht="15" customHeight="1" x14ac:dyDescent="0.2"/>
    <row r="28" spans="2:10" ht="15" customHeight="1" x14ac:dyDescent="0.2"/>
    <row r="29" spans="2:10" ht="15" customHeight="1" x14ac:dyDescent="0.2"/>
    <row r="30" spans="2:10" ht="15" customHeight="1" x14ac:dyDescent="0.2"/>
    <row r="31" spans="2:10" ht="15" customHeight="1" x14ac:dyDescent="0.2"/>
    <row r="32" spans="2:10" ht="20" customHeight="1" x14ac:dyDescent="0.2">
      <c r="B32" s="9" t="s">
        <v>200</v>
      </c>
      <c r="J32" s="9" t="s">
        <v>201</v>
      </c>
    </row>
    <row r="33" spans="2:16" ht="15" customHeight="1" x14ac:dyDescent="0.2"/>
    <row r="34" spans="2:16" ht="15" customHeight="1" x14ac:dyDescent="0.2"/>
    <row r="35" spans="2:16" ht="15" customHeight="1" x14ac:dyDescent="0.2"/>
    <row r="36" spans="2:16" ht="15" customHeight="1" x14ac:dyDescent="0.2"/>
    <row r="37" spans="2:16" ht="15" customHeight="1" x14ac:dyDescent="0.2"/>
    <row r="38" spans="2:16" ht="15" customHeight="1" x14ac:dyDescent="0.2"/>
    <row r="39" spans="2:16" ht="15" customHeight="1" x14ac:dyDescent="0.2"/>
    <row r="40" spans="2:16" ht="15" customHeight="1" x14ac:dyDescent="0.2"/>
    <row r="41" spans="2:16" ht="15" customHeight="1" x14ac:dyDescent="0.2"/>
    <row r="42" spans="2:16" ht="15" customHeight="1" x14ac:dyDescent="0.2"/>
    <row r="43" spans="2:16" ht="15" customHeight="1" x14ac:dyDescent="0.2"/>
    <row r="44" spans="2:16" ht="15" customHeight="1" x14ac:dyDescent="0.2"/>
    <row r="45" spans="2:16" ht="15" customHeight="1" x14ac:dyDescent="0.2"/>
    <row r="47" spans="2:16" ht="22" customHeight="1" x14ac:dyDescent="0.2">
      <c r="B47" s="9" t="s">
        <v>202</v>
      </c>
    </row>
    <row r="48" spans="2:16" ht="20" customHeight="1" x14ac:dyDescent="0.2">
      <c r="B48" s="136" t="s">
        <v>203</v>
      </c>
      <c r="C48" s="128"/>
      <c r="D48" s="128"/>
      <c r="E48" s="128"/>
      <c r="F48" s="128"/>
      <c r="G48" s="128"/>
      <c r="H48" s="147" t="s">
        <v>204</v>
      </c>
      <c r="I48" s="128"/>
      <c r="J48" s="128"/>
      <c r="K48" s="147" t="s">
        <v>205</v>
      </c>
      <c r="L48" s="128"/>
      <c r="M48" s="128"/>
      <c r="N48" s="147" t="s">
        <v>206</v>
      </c>
      <c r="O48" s="128"/>
      <c r="P48" s="128"/>
    </row>
    <row r="49" spans="2:16" ht="17" customHeight="1" x14ac:dyDescent="0.2">
      <c r="B49" s="153" t="s">
        <v>207</v>
      </c>
      <c r="C49" s="142"/>
      <c r="D49" s="142"/>
      <c r="E49" s="142"/>
      <c r="F49" s="142"/>
      <c r="G49" s="142"/>
      <c r="H49" s="141">
        <f>'Previsión 36 meses'!$O$14</f>
        <v>430</v>
      </c>
      <c r="I49" s="142"/>
      <c r="J49" s="142"/>
      <c r="K49" s="141">
        <f>'Previsión 36 meses'!$O$52</f>
        <v>574</v>
      </c>
      <c r="L49" s="142"/>
      <c r="M49" s="142"/>
      <c r="N49" s="141">
        <f>'Previsión 36 meses'!$O$90</f>
        <v>626</v>
      </c>
      <c r="O49" s="142"/>
      <c r="P49" s="142"/>
    </row>
    <row r="50" spans="2:16" ht="17" customHeight="1" x14ac:dyDescent="0.2">
      <c r="B50" s="153" t="s">
        <v>208</v>
      </c>
      <c r="C50" s="142"/>
      <c r="D50" s="142"/>
      <c r="E50" s="142"/>
      <c r="F50" s="142"/>
      <c r="G50" s="142"/>
      <c r="H50" s="143">
        <f>'Cuenta de resultados'!$C$13</f>
        <v>198336.41199999998</v>
      </c>
      <c r="I50" s="142"/>
      <c r="J50" s="142"/>
      <c r="K50" s="143">
        <f>'Cuenta de resultados'!$E$13</f>
        <v>300844.07639999996</v>
      </c>
      <c r="L50" s="142"/>
      <c r="M50" s="142"/>
      <c r="N50" s="143">
        <f>'Cuenta de resultados'!$G$13</f>
        <v>352615.91056249995</v>
      </c>
      <c r="O50" s="142"/>
      <c r="P50" s="142"/>
    </row>
    <row r="51" spans="2:16" ht="17" customHeight="1" x14ac:dyDescent="0.2">
      <c r="B51" s="153" t="s">
        <v>209</v>
      </c>
      <c r="C51" s="142"/>
      <c r="D51" s="142"/>
      <c r="E51" s="142"/>
      <c r="F51" s="142"/>
      <c r="G51" s="142"/>
      <c r="H51" s="143">
        <f>'Cuenta de resultados'!$C$25+'Cuenta de resultados'!$C$29</f>
        <v>222486.78694399999</v>
      </c>
      <c r="I51" s="142"/>
      <c r="J51" s="142"/>
      <c r="K51" s="143">
        <f>'Cuenta de resultados'!$E$25+'Cuenta de resultados'!$E$29</f>
        <v>236852.40391679999</v>
      </c>
      <c r="L51" s="142"/>
      <c r="M51" s="142"/>
      <c r="N51" s="143">
        <f>'Cuenta de resultados'!$G$25+'Cuenta de resultados'!$G$29</f>
        <v>247319.83070799999</v>
      </c>
      <c r="O51" s="142"/>
      <c r="P51" s="142"/>
    </row>
    <row r="52" spans="2:16" ht="17" customHeight="1" x14ac:dyDescent="0.2">
      <c r="B52" s="148" t="s">
        <v>210</v>
      </c>
      <c r="C52" s="142"/>
      <c r="D52" s="142"/>
      <c r="E52" s="142"/>
      <c r="F52" s="142"/>
      <c r="G52" s="142"/>
      <c r="H52" s="146">
        <f>'Cuenta de resultados'!$C$30</f>
        <v>-24150.374944000017</v>
      </c>
      <c r="I52" s="142"/>
      <c r="J52" s="142"/>
      <c r="K52" s="146">
        <f>'Cuenta de resultados'!$E$30</f>
        <v>63991.672483199975</v>
      </c>
      <c r="L52" s="142"/>
      <c r="M52" s="142"/>
      <c r="N52" s="146">
        <f>'Cuenta de resultados'!$G$30</f>
        <v>105296.07985449996</v>
      </c>
      <c r="O52" s="142"/>
      <c r="P52" s="142"/>
    </row>
    <row r="53" spans="2:16" ht="17" customHeight="1" x14ac:dyDescent="0.2">
      <c r="B53" s="148" t="s">
        <v>211</v>
      </c>
      <c r="C53" s="142"/>
      <c r="D53" s="142"/>
      <c r="E53" s="142"/>
      <c r="F53" s="142"/>
      <c r="G53" s="142"/>
      <c r="H53" s="146">
        <f>'Cuenta de resultados'!$C$36</f>
        <v>-55331.298381010143</v>
      </c>
      <c r="I53" s="142"/>
      <c r="J53" s="142"/>
      <c r="K53" s="146">
        <f>'Cuenta de resultados'!$E$36</f>
        <v>39811.888577894642</v>
      </c>
      <c r="L53" s="142"/>
      <c r="M53" s="142"/>
      <c r="N53" s="146">
        <f>'Cuenta de resultados'!$G$36</f>
        <v>82352.67834918297</v>
      </c>
      <c r="O53" s="142"/>
      <c r="P53" s="142"/>
    </row>
    <row r="54" spans="2:16" ht="17" customHeight="1" x14ac:dyDescent="0.2">
      <c r="B54" s="148" t="s">
        <v>212</v>
      </c>
      <c r="C54" s="142"/>
      <c r="D54" s="142"/>
      <c r="E54" s="142"/>
      <c r="F54" s="142"/>
      <c r="G54" s="142"/>
      <c r="H54" s="146">
        <f>'Previsión 36 meses'!$O$43</f>
        <v>11186.822411374604</v>
      </c>
      <c r="I54" s="142"/>
      <c r="J54" s="142"/>
      <c r="K54" s="146">
        <f>'Previsión 36 meses'!$O$81</f>
        <v>47252.889605323777</v>
      </c>
      <c r="L54" s="142"/>
      <c r="M54" s="142"/>
      <c r="N54" s="146">
        <f>'Previsión 36 meses'!$O$119</f>
        <v>124623.36417057292</v>
      </c>
      <c r="O54" s="142"/>
      <c r="P54" s="142"/>
    </row>
    <row r="56" spans="2:16" x14ac:dyDescent="0.2">
      <c r="B56" s="152" t="str">
        <f>"Cifras orientativas calculadas con la hoja «Supuestos» ("&amp;Supuestos!$C$7&amp;"). Sin IVA y antes de impuestos. El detalle mes a mes está en «Previsión 36 meses» y los años, en «Cuenta de resultados»."</f>
        <v>Cifras orientativas calculadas con la hoja «Supuestos» (Centro de ejemplo). Sin IVA y antes de impuestos. El detalle mes a mes está en «Previsión 36 meses» y los años, en «Cuenta de resultados».</v>
      </c>
      <c r="C56" s="128"/>
      <c r="D56" s="128"/>
      <c r="E56" s="128"/>
      <c r="F56" s="128"/>
      <c r="G56" s="128"/>
      <c r="H56" s="128"/>
      <c r="I56" s="128"/>
      <c r="J56" s="128"/>
      <c r="K56" s="128"/>
      <c r="L56" s="128"/>
      <c r="M56" s="128"/>
      <c r="N56" s="128"/>
      <c r="O56" s="128"/>
      <c r="P56" s="128"/>
    </row>
    <row r="57" spans="2:16" x14ac:dyDescent="0.2">
      <c r="B57" s="128"/>
      <c r="C57" s="128"/>
      <c r="D57" s="128"/>
      <c r="E57" s="128"/>
      <c r="F57" s="128"/>
      <c r="G57" s="128"/>
      <c r="H57" s="128"/>
      <c r="I57" s="128"/>
      <c r="J57" s="128"/>
      <c r="K57" s="128"/>
      <c r="L57" s="128"/>
      <c r="M57" s="128"/>
      <c r="N57" s="128"/>
      <c r="O57" s="128"/>
      <c r="P57" s="128"/>
    </row>
  </sheetData>
  <mergeCells count="54">
    <mergeCell ref="N54:P54"/>
    <mergeCell ref="N11:P11"/>
    <mergeCell ref="J5:L5"/>
    <mergeCell ref="N7:P7"/>
    <mergeCell ref="F10:H10"/>
    <mergeCell ref="B54:G54"/>
    <mergeCell ref="F6:H6"/>
    <mergeCell ref="H54:J54"/>
    <mergeCell ref="J10:L10"/>
    <mergeCell ref="H50:J50"/>
    <mergeCell ref="N50:P50"/>
    <mergeCell ref="K54:M54"/>
    <mergeCell ref="N51:P51"/>
    <mergeCell ref="N53:P53"/>
    <mergeCell ref="K51:M51"/>
    <mergeCell ref="F7:H7"/>
    <mergeCell ref="B56:P57"/>
    <mergeCell ref="N10:P10"/>
    <mergeCell ref="B9:D9"/>
    <mergeCell ref="B49:G49"/>
    <mergeCell ref="N9:P9"/>
    <mergeCell ref="B52:G52"/>
    <mergeCell ref="F9:H9"/>
    <mergeCell ref="K48:M48"/>
    <mergeCell ref="H48:J48"/>
    <mergeCell ref="K53:M53"/>
    <mergeCell ref="B51:G51"/>
    <mergeCell ref="N49:P49"/>
    <mergeCell ref="B50:G50"/>
    <mergeCell ref="K49:M49"/>
    <mergeCell ref="H53:J53"/>
    <mergeCell ref="F11:H11"/>
    <mergeCell ref="H52:J52"/>
    <mergeCell ref="N52:P52"/>
    <mergeCell ref="N5:P5"/>
    <mergeCell ref="N48:P48"/>
    <mergeCell ref="B53:G53"/>
    <mergeCell ref="K52:M52"/>
    <mergeCell ref="J11:L11"/>
    <mergeCell ref="J7:L7"/>
    <mergeCell ref="B10:D10"/>
    <mergeCell ref="B13:P15"/>
    <mergeCell ref="B6:D6"/>
    <mergeCell ref="N6:P6"/>
    <mergeCell ref="B5:D5"/>
    <mergeCell ref="B7:D7"/>
    <mergeCell ref="J9:L9"/>
    <mergeCell ref="B48:G48"/>
    <mergeCell ref="B11:D11"/>
    <mergeCell ref="J6:L6"/>
    <mergeCell ref="H49:J49"/>
    <mergeCell ref="H51:J51"/>
    <mergeCell ref="F5:H5"/>
    <mergeCell ref="K50:M50"/>
  </mergeCells>
  <conditionalFormatting sqref="B10">
    <cfRule type="cellIs" dxfId="37" priority="2" operator="lessThan">
      <formula>0</formula>
    </cfRule>
    <cfRule type="cellIs" dxfId="36" priority="3" operator="greaterThanOrEqual">
      <formula>0</formula>
    </cfRule>
  </conditionalFormatting>
  <conditionalFormatting sqref="F10">
    <cfRule type="cellIs" dxfId="32" priority="4" operator="lessThan">
      <formula>0</formula>
    </cfRule>
    <cfRule type="cellIs" dxfId="31" priority="5" operator="greaterThanOrEqual">
      <formula>0</formula>
    </cfRule>
  </conditionalFormatting>
  <conditionalFormatting sqref="H52:H54">
    <cfRule type="cellIs" dxfId="30" priority="12" operator="lessThan">
      <formula>0</formula>
    </cfRule>
  </conditionalFormatting>
  <conditionalFormatting sqref="J10">
    <cfRule type="cellIs" dxfId="29" priority="6" operator="lessThan">
      <formula>0</formula>
    </cfRule>
    <cfRule type="cellIs" dxfId="28" priority="7" operator="greaterThanOrEqual">
      <formula>0</formula>
    </cfRule>
  </conditionalFormatting>
  <conditionalFormatting sqref="K52:K54">
    <cfRule type="cellIs" dxfId="27" priority="13" operator="lessThan">
      <formula>0</formula>
    </cfRule>
  </conditionalFormatting>
  <conditionalFormatting sqref="N10">
    <cfRule type="cellIs" dxfId="26" priority="8" operator="lessThan">
      <formula>0</formula>
    </cfRule>
    <cfRule type="cellIs" dxfId="25" priority="9" operator="greaterThanOrEqual">
      <formula>0</formula>
    </cfRule>
  </conditionalFormatting>
  <conditionalFormatting sqref="N52:N54">
    <cfRule type="cellIs" dxfId="24" priority="14" operator="lessThan">
      <formula>0</formula>
    </cfRule>
  </conditionalFormatting>
  <printOptions horizontalCentered="1"/>
  <pageMargins left="0.45" right="0.45" top="0.6" bottom="0.6" header="0.25" footer="0.25"/>
  <pageSetup paperSize="9" orientation="portrait"/>
  <headerFooter>
    <oddHeader>&amp;L&amp;"Arial,Bold"&amp;8 &amp;K5C697D&amp;A&amp;R&amp;"Arial,Regular"&amp;8 &amp;K5C697DPlan de viabilidad</oddHeader>
    <oddFooter>&amp;L&amp;"Arial,Regular"&amp;8 &amp;K5C697DPlantilla gratuita de GymGym · gymgym.es/recursos&amp;R&amp;"Arial,Regular"&amp;8 &amp;K5C697DPágina &amp;P de &amp;N</oddFooter>
    <evenHeader>&amp;L&amp;"Arial,Bold"&amp;8 &amp;K5C697D&amp;A&amp;R&amp;"Arial,Regular"&amp;8 &amp;K5C697DPlan de viabilidad</evenHeader>
    <evenFooter>&amp;L&amp;"Arial,Regular"&amp;8 &amp;K5C697DPlantilla gratuita de GymGym · gymgym.es/recursos&amp;R&amp;"Arial,Regular"&amp;8 &amp;K5C697DPágina &amp;P de &amp;N</evenFooter>
    <firstHeader>&amp;L&amp;"Arial,Bold"&amp;8 &amp;K5C697D&amp;A&amp;R&amp;"Arial,Regular"&amp;8 &amp;K5C697DPlan de viabilidad</firstHeader>
    <firstFooter>&amp;L&amp;"Arial,Regular"&amp;8 &amp;K5C697DPlantilla gratuita de GymGym · gymgym.es/recursos&amp;R&amp;"Arial,Regular"&amp;8 &amp;K5C697DPágina &amp;P de &amp;N</firstFooter>
  </headerFooter>
  <drawing r:id="rId1"/>
  <extLst>
    <ext xmlns:x14="http://schemas.microsoft.com/office/spreadsheetml/2009/9/main" uri="{78C0D931-6437-407d-A8EE-F0AAD7539E65}">
      <x14:conditionalFormattings>
        <x14:conditionalFormatting xmlns:xm="http://schemas.microsoft.com/office/excel/2006/main">
          <x14:cfRule type="expression" priority="10" id="{00000000-000E-0000-0200-00000A000000}">
            <xm:f>'Punto de equilibrio'!$C$21&lt;0</xm:f>
            <x14:dxf>
              <fill>
                <patternFill patternType="solid">
                  <fgColor rgb="FFFFE8ED"/>
                  <bgColor rgb="FFFFE8ED"/>
                </patternFill>
              </fill>
            </x14:dxf>
          </x14:cfRule>
          <x14:cfRule type="expression" priority="11" id="{00000000-000E-0000-0200-00000B000000}">
            <xm:f>AND('Punto de equilibrio'!$C$21&gt;=0,'Punto de equilibrio'!$C$21&lt;Supuestos!$C$34)</xm:f>
            <x14:dxf>
              <fill>
                <patternFill patternType="solid">
                  <fgColor rgb="FFFFF1D8"/>
                  <bgColor rgb="FFFFF1D8"/>
                </patternFill>
              </fill>
            </x14:dxf>
          </x14:cfRule>
          <xm:sqref>B13</xm:sqref>
        </x14:conditionalFormatting>
        <x14:conditionalFormatting xmlns:xm="http://schemas.microsoft.com/office/excel/2006/main">
          <x14:cfRule type="expression" priority="1" id="{00000000-000E-0000-0200-000001000000}">
            <xm:f>'Punto de equilibrio'!$C$28&lt;0</xm:f>
            <x14:dxf>
              <font>
                <b/>
                <color rgb="FFC9284A"/>
                <name val="Arial"/>
              </font>
            </x14:dxf>
          </x14:cfRule>
          <xm:sqref>F7</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4F82EC"/>
    <pageSetUpPr fitToPage="1"/>
  </sheetPr>
  <dimension ref="B1:S119"/>
  <sheetViews>
    <sheetView showGridLines="0" workbookViewId="0">
      <pane xSplit="2" ySplit="4" topLeftCell="C5" activePane="bottomRight" state="frozen"/>
      <selection pane="topRight"/>
      <selection pane="bottomLeft"/>
      <selection pane="bottomRight"/>
    </sheetView>
  </sheetViews>
  <sheetFormatPr baseColWidth="10" defaultColWidth="8.83203125" defaultRowHeight="15" x14ac:dyDescent="0.2"/>
  <cols>
    <col min="1" max="1" width="2.5" customWidth="1"/>
    <col min="2" max="2" width="38" customWidth="1"/>
    <col min="3" max="14" width="10" customWidth="1"/>
    <col min="15" max="15" width="12.5" customWidth="1"/>
    <col min="16" max="16" width="2.5" customWidth="1"/>
    <col min="18" max="19" width="13" hidden="1" customWidth="1"/>
  </cols>
  <sheetData>
    <row r="1" spans="2:19" ht="34" customHeight="1" x14ac:dyDescent="0.25">
      <c r="B1" s="21" t="s">
        <v>213</v>
      </c>
    </row>
    <row r="2" spans="2:19" ht="20" customHeight="1" x14ac:dyDescent="0.2">
      <c r="B2" s="19" t="s">
        <v>214</v>
      </c>
    </row>
    <row r="3" spans="2:19" ht="5" customHeight="1" x14ac:dyDescent="0.2">
      <c r="B3" s="2"/>
      <c r="C3" s="2"/>
      <c r="D3" s="2"/>
      <c r="E3" s="2"/>
      <c r="F3" s="2"/>
      <c r="G3" s="2"/>
      <c r="H3" s="2"/>
      <c r="I3" s="2"/>
      <c r="J3" s="2"/>
      <c r="K3" s="2"/>
      <c r="L3" s="2"/>
      <c r="M3" s="2"/>
      <c r="N3" s="2"/>
      <c r="O3" s="2"/>
      <c r="R3" s="66" t="s">
        <v>215</v>
      </c>
      <c r="S3" s="66" t="s">
        <v>216</v>
      </c>
    </row>
    <row r="4" spans="2:19" ht="20" customHeight="1" x14ac:dyDescent="0.2">
      <c r="B4" s="67" t="str">
        <f>"Escenario "&amp;LOWER(Supuestos!$C$9)&amp;".   En la cabecera, en verde agua: primer mes en que cubres gastos"&amp;IF(ISNUMBER('Punto de equilibrio'!$C$20)," (mes "&amp;'Punto de equilibrio'!$C$20&amp;")"," (no llega en 36 meses)")&amp;".   En coral: mes de caja mínima (mes "&amp;'Punto de equilibrio'!$C$22&amp;", "&amp;FIXED('Punto de equilibrio'!$C$21,0)&amp;" €)."</f>
        <v>Escenario realista.   En la cabecera, en verde agua: primer mes en que cubres gastos (mes 9).   En coral: mes de caja mínima (mes 12, 11.187 €).</v>
      </c>
      <c r="R4" s="68">
        <f>'Punto de equilibrio'!$C$20</f>
        <v>9</v>
      </c>
      <c r="S4" s="68">
        <f>'Punto de equilibrio'!$C$22</f>
        <v>12</v>
      </c>
    </row>
    <row r="5" spans="2:19" ht="6" customHeight="1" x14ac:dyDescent="0.2"/>
    <row r="7" spans="2:19" ht="26" customHeight="1" x14ac:dyDescent="0.2">
      <c r="B7" s="155" t="str">
        <f>"Año 1   ·   "&amp;CHOOSE(MONTH(DATE(YEAR(Supuestos!$C$8),MONTH(Supuestos!$C$8)+(1)-1,1)),"ene","feb","mar","abr","may","jun","jul","ago","sep","oct","nov","dic")&amp;" "&amp;YEAR(DATE(YEAR(Supuestos!$C$8),MONTH(Supuestos!$C$8)+(1)-1,1))&amp;" – "&amp;CHOOSE(MONTH(DATE(YEAR(Supuestos!$C$8),MONTH(Supuestos!$C$8)+(12)-1,1)),"ene","feb","mar","abr","may","jun","jul","ago","sep","oct","nov","dic")&amp;" "&amp;YEAR(DATE(YEAR(Supuestos!$C$8),MONTH(Supuestos!$C$8)+(12)-1,1))</f>
        <v>Año 1   ·   sep 2027 – ago 2028</v>
      </c>
      <c r="C7" s="156"/>
      <c r="D7" s="156"/>
      <c r="E7" s="156"/>
      <c r="F7" s="156"/>
      <c r="G7" s="156"/>
      <c r="H7" s="156"/>
      <c r="I7" s="156"/>
      <c r="J7" s="156"/>
      <c r="K7" s="156"/>
      <c r="L7" s="156"/>
      <c r="M7" s="156"/>
      <c r="N7" s="156"/>
      <c r="O7" s="156"/>
    </row>
    <row r="8" spans="2:19" ht="22" customHeight="1" x14ac:dyDescent="0.2">
      <c r="B8" s="32" t="s">
        <v>217</v>
      </c>
      <c r="C8" s="4" t="str">
        <f>CHOOSE(MONTH(DATE(YEAR(Supuestos!$C$8),MONTH(Supuestos!$C$8)+(1)-1,1)),"ene","feb","mar","abr","may","jun","jul","ago","sep","oct","nov","dic")&amp;" "&amp;RIGHT(YEAR(DATE(YEAR(Supuestos!$C$8),MONTH(Supuestos!$C$8)+(1)-1,1)),2)</f>
        <v>sep 27</v>
      </c>
      <c r="D8" s="4" t="str">
        <f>CHOOSE(MONTH(DATE(YEAR(Supuestos!$C$8),MONTH(Supuestos!$C$8)+(2)-1,1)),"ene","feb","mar","abr","may","jun","jul","ago","sep","oct","nov","dic")&amp;" "&amp;RIGHT(YEAR(DATE(YEAR(Supuestos!$C$8),MONTH(Supuestos!$C$8)+(2)-1,1)),2)</f>
        <v>oct 27</v>
      </c>
      <c r="E8" s="4" t="str">
        <f>CHOOSE(MONTH(DATE(YEAR(Supuestos!$C$8),MONTH(Supuestos!$C$8)+(3)-1,1)),"ene","feb","mar","abr","may","jun","jul","ago","sep","oct","nov","dic")&amp;" "&amp;RIGHT(YEAR(DATE(YEAR(Supuestos!$C$8),MONTH(Supuestos!$C$8)+(3)-1,1)),2)</f>
        <v>nov 27</v>
      </c>
      <c r="F8" s="4" t="str">
        <f>CHOOSE(MONTH(DATE(YEAR(Supuestos!$C$8),MONTH(Supuestos!$C$8)+(4)-1,1)),"ene","feb","mar","abr","may","jun","jul","ago","sep","oct","nov","dic")&amp;" "&amp;RIGHT(YEAR(DATE(YEAR(Supuestos!$C$8),MONTH(Supuestos!$C$8)+(4)-1,1)),2)</f>
        <v>dic 27</v>
      </c>
      <c r="G8" s="4" t="str">
        <f>CHOOSE(MONTH(DATE(YEAR(Supuestos!$C$8),MONTH(Supuestos!$C$8)+(5)-1,1)),"ene","feb","mar","abr","may","jun","jul","ago","sep","oct","nov","dic")&amp;" "&amp;RIGHT(YEAR(DATE(YEAR(Supuestos!$C$8),MONTH(Supuestos!$C$8)+(5)-1,1)),2)</f>
        <v>ene 28</v>
      </c>
      <c r="H8" s="4" t="str">
        <f>CHOOSE(MONTH(DATE(YEAR(Supuestos!$C$8),MONTH(Supuestos!$C$8)+(6)-1,1)),"ene","feb","mar","abr","may","jun","jul","ago","sep","oct","nov","dic")&amp;" "&amp;RIGHT(YEAR(DATE(YEAR(Supuestos!$C$8),MONTH(Supuestos!$C$8)+(6)-1,1)),2)</f>
        <v>feb 28</v>
      </c>
      <c r="I8" s="4" t="str">
        <f>CHOOSE(MONTH(DATE(YEAR(Supuestos!$C$8),MONTH(Supuestos!$C$8)+(7)-1,1)),"ene","feb","mar","abr","may","jun","jul","ago","sep","oct","nov","dic")&amp;" "&amp;RIGHT(YEAR(DATE(YEAR(Supuestos!$C$8),MONTH(Supuestos!$C$8)+(7)-1,1)),2)</f>
        <v>mar 28</v>
      </c>
      <c r="J8" s="4" t="str">
        <f>CHOOSE(MONTH(DATE(YEAR(Supuestos!$C$8),MONTH(Supuestos!$C$8)+(8)-1,1)),"ene","feb","mar","abr","may","jun","jul","ago","sep","oct","nov","dic")&amp;" "&amp;RIGHT(YEAR(DATE(YEAR(Supuestos!$C$8),MONTH(Supuestos!$C$8)+(8)-1,1)),2)</f>
        <v>abr 28</v>
      </c>
      <c r="K8" s="4" t="str">
        <f>CHOOSE(MONTH(DATE(YEAR(Supuestos!$C$8),MONTH(Supuestos!$C$8)+(9)-1,1)),"ene","feb","mar","abr","may","jun","jul","ago","sep","oct","nov","dic")&amp;" "&amp;RIGHT(YEAR(DATE(YEAR(Supuestos!$C$8),MONTH(Supuestos!$C$8)+(9)-1,1)),2)</f>
        <v>may 28</v>
      </c>
      <c r="L8" s="4" t="str">
        <f>CHOOSE(MONTH(DATE(YEAR(Supuestos!$C$8),MONTH(Supuestos!$C$8)+(10)-1,1)),"ene","feb","mar","abr","may","jun","jul","ago","sep","oct","nov","dic")&amp;" "&amp;RIGHT(YEAR(DATE(YEAR(Supuestos!$C$8),MONTH(Supuestos!$C$8)+(10)-1,1)),2)</f>
        <v>jun 28</v>
      </c>
      <c r="M8" s="4" t="str">
        <f>CHOOSE(MONTH(DATE(YEAR(Supuestos!$C$8),MONTH(Supuestos!$C$8)+(11)-1,1)),"ene","feb","mar","abr","may","jun","jul","ago","sep","oct","nov","dic")&amp;" "&amp;RIGHT(YEAR(DATE(YEAR(Supuestos!$C$8),MONTH(Supuestos!$C$8)+(11)-1,1)),2)</f>
        <v>jul 28</v>
      </c>
      <c r="N8" s="4" t="str">
        <f>CHOOSE(MONTH(DATE(YEAR(Supuestos!$C$8),MONTH(Supuestos!$C$8)+(12)-1,1)),"ene","feb","mar","abr","may","jun","jul","ago","sep","oct","nov","dic")&amp;" "&amp;RIGHT(YEAR(DATE(YEAR(Supuestos!$C$8),MONTH(Supuestos!$C$8)+(12)-1,1)),2)</f>
        <v>ago 28</v>
      </c>
      <c r="O8" s="4" t="s">
        <v>218</v>
      </c>
    </row>
    <row r="9" spans="2:19" x14ac:dyDescent="0.2">
      <c r="B9" s="69" t="s">
        <v>219</v>
      </c>
      <c r="C9" s="70">
        <v>1</v>
      </c>
      <c r="D9" s="70">
        <v>2</v>
      </c>
      <c r="E9" s="70">
        <v>3</v>
      </c>
      <c r="F9" s="70">
        <v>4</v>
      </c>
      <c r="G9" s="70">
        <v>5</v>
      </c>
      <c r="H9" s="70">
        <v>6</v>
      </c>
      <c r="I9" s="70">
        <v>7</v>
      </c>
      <c r="J9" s="70">
        <v>8</v>
      </c>
      <c r="K9" s="70">
        <v>9</v>
      </c>
      <c r="L9" s="70">
        <v>10</v>
      </c>
      <c r="M9" s="70">
        <v>11</v>
      </c>
      <c r="N9" s="70">
        <v>12</v>
      </c>
    </row>
    <row r="10" spans="2:19" ht="18" customHeight="1" x14ac:dyDescent="0.2">
      <c r="B10" s="71" t="s">
        <v>220</v>
      </c>
    </row>
    <row r="11" spans="2:19" x14ac:dyDescent="0.2">
      <c r="B11" s="7" t="s">
        <v>221</v>
      </c>
      <c r="C11" s="72">
        <f>0</f>
        <v>0</v>
      </c>
      <c r="D11" s="72">
        <f t="shared" ref="D11:N11" si="0">C14</f>
        <v>225</v>
      </c>
      <c r="E11" s="72">
        <f t="shared" si="0"/>
        <v>271</v>
      </c>
      <c r="F11" s="72">
        <f t="shared" si="0"/>
        <v>300</v>
      </c>
      <c r="G11" s="72">
        <f t="shared" si="0"/>
        <v>313</v>
      </c>
      <c r="H11" s="72">
        <f t="shared" si="0"/>
        <v>360</v>
      </c>
      <c r="I11" s="72">
        <f t="shared" si="0"/>
        <v>386</v>
      </c>
      <c r="J11" s="72">
        <f t="shared" si="0"/>
        <v>406</v>
      </c>
      <c r="K11" s="72">
        <f t="shared" si="0"/>
        <v>420</v>
      </c>
      <c r="L11" s="72">
        <f t="shared" si="0"/>
        <v>433</v>
      </c>
      <c r="M11" s="72">
        <f t="shared" si="0"/>
        <v>438</v>
      </c>
      <c r="N11" s="72">
        <f t="shared" si="0"/>
        <v>435</v>
      </c>
      <c r="O11" s="73">
        <f>C11</f>
        <v>0</v>
      </c>
    </row>
    <row r="12" spans="2:19" x14ac:dyDescent="0.2">
      <c r="B12" s="7" t="s">
        <v>222</v>
      </c>
      <c r="C12" s="72">
        <f>MAX(0,MIN(ROUND(Supuestos!$F$12*IF(C$9&lt;=12,INDEX(Supuestos!$C$55:$C$66,C$9)+IF(C$9=1,Supuestos!$C$52,0),IF(C$9&lt;=24,Supuestos!$C$69,Supuestos!$C$70)*IFERROR(INDEX(Supuestos!$C$55:$C$66,MOD(C$9-1,12)+1)/AVERAGE(Supuestos!$C$55:$C$66),1)),0),IF(Supuestos!$C$72&gt;0,Supuestos!$C$72-C11+C13,ROUND(Supuestos!$F$12*IF(C$9&lt;=12,INDEX(Supuestos!$C$55:$C$66,C$9)+IF(C$9=1,Supuestos!$C$52,0),IF(C$9&lt;=24,Supuestos!$C$69,Supuestos!$C$70)*IFERROR(INDEX(Supuestos!$C$55:$C$66,MOD(C$9-1,12)+1)/AVERAGE(Supuestos!$C$55:$C$66),1)),0))))</f>
        <v>225</v>
      </c>
      <c r="D12" s="72">
        <f>MAX(0,MIN(ROUND(Supuestos!$F$12*IF(D$9&lt;=12,INDEX(Supuestos!$C$55:$C$66,D$9)+IF(D$9=1,Supuestos!$C$52,0),IF(D$9&lt;=24,Supuestos!$C$69,Supuestos!$C$70)*IFERROR(INDEX(Supuestos!$C$55:$C$66,MOD(D$9-1,12)+1)/AVERAGE(Supuestos!$C$55:$C$66),1)),0),IF(Supuestos!$C$72&gt;0,Supuestos!$C$72-D11+D13,ROUND(Supuestos!$F$12*IF(D$9&lt;=12,INDEX(Supuestos!$C$55:$C$66,D$9)+IF(D$9=1,Supuestos!$C$52,0),IF(D$9&lt;=24,Supuestos!$C$69,Supuestos!$C$70)*IFERROR(INDEX(Supuestos!$C$55:$C$66,MOD(D$9-1,12)+1)/AVERAGE(Supuestos!$C$55:$C$66),1)),0))))</f>
        <v>55</v>
      </c>
      <c r="E12" s="72">
        <f>MAX(0,MIN(ROUND(Supuestos!$F$12*IF(E$9&lt;=12,INDEX(Supuestos!$C$55:$C$66,E$9)+IF(E$9=1,Supuestos!$C$52,0),IF(E$9&lt;=24,Supuestos!$C$69,Supuestos!$C$70)*IFERROR(INDEX(Supuestos!$C$55:$C$66,MOD(E$9-1,12)+1)/AVERAGE(Supuestos!$C$55:$C$66),1)),0),IF(Supuestos!$C$72&gt;0,Supuestos!$C$72-E11+E13,ROUND(Supuestos!$F$12*IF(E$9&lt;=12,INDEX(Supuestos!$C$55:$C$66,E$9)+IF(E$9=1,Supuestos!$C$52,0),IF(E$9&lt;=24,Supuestos!$C$69,Supuestos!$C$70)*IFERROR(INDEX(Supuestos!$C$55:$C$66,MOD(E$9-1,12)+1)/AVERAGE(Supuestos!$C$55:$C$66),1)),0))))</f>
        <v>40</v>
      </c>
      <c r="F12" s="72">
        <f>MAX(0,MIN(ROUND(Supuestos!$F$12*IF(F$9&lt;=12,INDEX(Supuestos!$C$55:$C$66,F$9)+IF(F$9=1,Supuestos!$C$52,0),IF(F$9&lt;=24,Supuestos!$C$69,Supuestos!$C$70)*IFERROR(INDEX(Supuestos!$C$55:$C$66,MOD(F$9-1,12)+1)/AVERAGE(Supuestos!$C$55:$C$66),1)),0),IF(Supuestos!$C$72&gt;0,Supuestos!$C$72-F11+F13,ROUND(Supuestos!$F$12*IF(F$9&lt;=12,INDEX(Supuestos!$C$55:$C$66,F$9)+IF(F$9=1,Supuestos!$C$52,0),IF(F$9&lt;=24,Supuestos!$C$69,Supuestos!$C$70)*IFERROR(INDEX(Supuestos!$C$55:$C$66,MOD(F$9-1,12)+1)/AVERAGE(Supuestos!$C$55:$C$66),1)),0))))</f>
        <v>25</v>
      </c>
      <c r="G12" s="72">
        <f>MAX(0,MIN(ROUND(Supuestos!$F$12*IF(G$9&lt;=12,INDEX(Supuestos!$C$55:$C$66,G$9)+IF(G$9=1,Supuestos!$C$52,0),IF(G$9&lt;=24,Supuestos!$C$69,Supuestos!$C$70)*IFERROR(INDEX(Supuestos!$C$55:$C$66,MOD(G$9-1,12)+1)/AVERAGE(Supuestos!$C$55:$C$66),1)),0),IF(Supuestos!$C$72&gt;0,Supuestos!$C$72-G11+G13,ROUND(Supuestos!$F$12*IF(G$9&lt;=12,INDEX(Supuestos!$C$55:$C$66,G$9)+IF(G$9=1,Supuestos!$C$52,0),IF(G$9&lt;=24,Supuestos!$C$69,Supuestos!$C$70)*IFERROR(INDEX(Supuestos!$C$55:$C$66,MOD(G$9-1,12)+1)/AVERAGE(Supuestos!$C$55:$C$66),1)),0))))</f>
        <v>60</v>
      </c>
      <c r="H12" s="72">
        <f>MAX(0,MIN(ROUND(Supuestos!$F$12*IF(H$9&lt;=12,INDEX(Supuestos!$C$55:$C$66,H$9)+IF(H$9=1,Supuestos!$C$52,0),IF(H$9&lt;=24,Supuestos!$C$69,Supuestos!$C$70)*IFERROR(INDEX(Supuestos!$C$55:$C$66,MOD(H$9-1,12)+1)/AVERAGE(Supuestos!$C$55:$C$66),1)),0),IF(Supuestos!$C$72&gt;0,Supuestos!$C$72-H11+H13,ROUND(Supuestos!$F$12*IF(H$9&lt;=12,INDEX(Supuestos!$C$55:$C$66,H$9)+IF(H$9=1,Supuestos!$C$52,0),IF(H$9&lt;=24,Supuestos!$C$69,Supuestos!$C$70)*IFERROR(INDEX(Supuestos!$C$55:$C$66,MOD(H$9-1,12)+1)/AVERAGE(Supuestos!$C$55:$C$66),1)),0))))</f>
        <v>40</v>
      </c>
      <c r="I12" s="72">
        <f>MAX(0,MIN(ROUND(Supuestos!$F$12*IF(I$9&lt;=12,INDEX(Supuestos!$C$55:$C$66,I$9)+IF(I$9=1,Supuestos!$C$52,0),IF(I$9&lt;=24,Supuestos!$C$69,Supuestos!$C$70)*IFERROR(INDEX(Supuestos!$C$55:$C$66,MOD(I$9-1,12)+1)/AVERAGE(Supuestos!$C$55:$C$66),1)),0),IF(Supuestos!$C$72&gt;0,Supuestos!$C$72-I11+I13,ROUND(Supuestos!$F$12*IF(I$9&lt;=12,INDEX(Supuestos!$C$55:$C$66,I$9)+IF(I$9=1,Supuestos!$C$52,0),IF(I$9&lt;=24,Supuestos!$C$69,Supuestos!$C$70)*IFERROR(INDEX(Supuestos!$C$55:$C$66,MOD(I$9-1,12)+1)/AVERAGE(Supuestos!$C$55:$C$66),1)),0))))</f>
        <v>35</v>
      </c>
      <c r="J12" s="72">
        <f>MAX(0,MIN(ROUND(Supuestos!$F$12*IF(J$9&lt;=12,INDEX(Supuestos!$C$55:$C$66,J$9)+IF(J$9=1,Supuestos!$C$52,0),IF(J$9&lt;=24,Supuestos!$C$69,Supuestos!$C$70)*IFERROR(INDEX(Supuestos!$C$55:$C$66,MOD(J$9-1,12)+1)/AVERAGE(Supuestos!$C$55:$C$66),1)),0),IF(Supuestos!$C$72&gt;0,Supuestos!$C$72-J11+J13,ROUND(Supuestos!$F$12*IF(J$9&lt;=12,INDEX(Supuestos!$C$55:$C$66,J$9)+IF(J$9=1,Supuestos!$C$52,0),IF(J$9&lt;=24,Supuestos!$C$69,Supuestos!$C$70)*IFERROR(INDEX(Supuestos!$C$55:$C$66,MOD(J$9-1,12)+1)/AVERAGE(Supuestos!$C$55:$C$66),1)),0))))</f>
        <v>30</v>
      </c>
      <c r="K12" s="72">
        <f>MAX(0,MIN(ROUND(Supuestos!$F$12*IF(K$9&lt;=12,INDEX(Supuestos!$C$55:$C$66,K$9)+IF(K$9=1,Supuestos!$C$52,0),IF(K$9&lt;=24,Supuestos!$C$69,Supuestos!$C$70)*IFERROR(INDEX(Supuestos!$C$55:$C$66,MOD(K$9-1,12)+1)/AVERAGE(Supuestos!$C$55:$C$66),1)),0),IF(Supuestos!$C$72&gt;0,Supuestos!$C$72-K11+K13,ROUND(Supuestos!$F$12*IF(K$9&lt;=12,INDEX(Supuestos!$C$55:$C$66,K$9)+IF(K$9=1,Supuestos!$C$52,0),IF(K$9&lt;=24,Supuestos!$C$69,Supuestos!$C$70)*IFERROR(INDEX(Supuestos!$C$55:$C$66,MOD(K$9-1,12)+1)/AVERAGE(Supuestos!$C$55:$C$66),1)),0))))</f>
        <v>30</v>
      </c>
      <c r="L12" s="72">
        <f>MAX(0,MIN(ROUND(Supuestos!$F$12*IF(L$9&lt;=12,INDEX(Supuestos!$C$55:$C$66,L$9)+IF(L$9=1,Supuestos!$C$52,0),IF(L$9&lt;=24,Supuestos!$C$69,Supuestos!$C$70)*IFERROR(INDEX(Supuestos!$C$55:$C$66,MOD(L$9-1,12)+1)/AVERAGE(Supuestos!$C$55:$C$66),1)),0),IF(Supuestos!$C$72&gt;0,Supuestos!$C$72-L11+L13,ROUND(Supuestos!$F$12*IF(L$9&lt;=12,INDEX(Supuestos!$C$55:$C$66,L$9)+IF(L$9=1,Supuestos!$C$52,0),IF(L$9&lt;=24,Supuestos!$C$69,Supuestos!$C$70)*IFERROR(INDEX(Supuestos!$C$55:$C$66,MOD(L$9-1,12)+1)/AVERAGE(Supuestos!$C$55:$C$66),1)),0))))</f>
        <v>22</v>
      </c>
      <c r="M12" s="72">
        <f>MAX(0,MIN(ROUND(Supuestos!$F$12*IF(M$9&lt;=12,INDEX(Supuestos!$C$55:$C$66,M$9)+IF(M$9=1,Supuestos!$C$52,0),IF(M$9&lt;=24,Supuestos!$C$69,Supuestos!$C$70)*IFERROR(INDEX(Supuestos!$C$55:$C$66,MOD(M$9-1,12)+1)/AVERAGE(Supuestos!$C$55:$C$66),1)),0),IF(Supuestos!$C$72&gt;0,Supuestos!$C$72-M11+M13,ROUND(Supuestos!$F$12*IF(M$9&lt;=12,INDEX(Supuestos!$C$55:$C$66,M$9)+IF(M$9=1,Supuestos!$C$52,0),IF(M$9&lt;=24,Supuestos!$C$69,Supuestos!$C$70)*IFERROR(INDEX(Supuestos!$C$55:$C$66,MOD(M$9-1,12)+1)/AVERAGE(Supuestos!$C$55:$C$66),1)),0))))</f>
        <v>15</v>
      </c>
      <c r="N12" s="72">
        <f>MAX(0,MIN(ROUND(Supuestos!$F$12*IF(N$9&lt;=12,INDEX(Supuestos!$C$55:$C$66,N$9)+IF(N$9=1,Supuestos!$C$52,0),IF(N$9&lt;=24,Supuestos!$C$69,Supuestos!$C$70)*IFERROR(INDEX(Supuestos!$C$55:$C$66,MOD(N$9-1,12)+1)/AVERAGE(Supuestos!$C$55:$C$66),1)),0),IF(Supuestos!$C$72&gt;0,Supuestos!$C$72-N11+N13,ROUND(Supuestos!$F$12*IF(N$9&lt;=12,INDEX(Supuestos!$C$55:$C$66,N$9)+IF(N$9=1,Supuestos!$C$52,0),IF(N$9&lt;=24,Supuestos!$C$69,Supuestos!$C$70)*IFERROR(INDEX(Supuestos!$C$55:$C$66,MOD(N$9-1,12)+1)/AVERAGE(Supuestos!$C$55:$C$66),1)),0))))</f>
        <v>12</v>
      </c>
      <c r="O12" s="73">
        <f>SUM(C12:N12)</f>
        <v>589</v>
      </c>
    </row>
    <row r="13" spans="2:19" x14ac:dyDescent="0.2">
      <c r="B13" s="7" t="s">
        <v>223</v>
      </c>
      <c r="C13" s="72">
        <f>MIN(C11,ROUND(C11*Supuestos!$C$71*Supuestos!$F$13,0))</f>
        <v>0</v>
      </c>
      <c r="D13" s="72">
        <f>MIN(D11,ROUND(D11*Supuestos!$C$71*Supuestos!$F$13,0))</f>
        <v>9</v>
      </c>
      <c r="E13" s="72">
        <f>MIN(E11,ROUND(E11*Supuestos!$C$71*Supuestos!$F$13,0))</f>
        <v>11</v>
      </c>
      <c r="F13" s="72">
        <f>MIN(F11,ROUND(F11*Supuestos!$C$71*Supuestos!$F$13,0))</f>
        <v>12</v>
      </c>
      <c r="G13" s="72">
        <f>MIN(G11,ROUND(G11*Supuestos!$C$71*Supuestos!$F$13,0))</f>
        <v>13</v>
      </c>
      <c r="H13" s="72">
        <f>MIN(H11,ROUND(H11*Supuestos!$C$71*Supuestos!$F$13,0))</f>
        <v>14</v>
      </c>
      <c r="I13" s="72">
        <f>MIN(I11,ROUND(I11*Supuestos!$C$71*Supuestos!$F$13,0))</f>
        <v>15</v>
      </c>
      <c r="J13" s="72">
        <f>MIN(J11,ROUND(J11*Supuestos!$C$71*Supuestos!$F$13,0))</f>
        <v>16</v>
      </c>
      <c r="K13" s="72">
        <f>MIN(K11,ROUND(K11*Supuestos!$C$71*Supuestos!$F$13,0))</f>
        <v>17</v>
      </c>
      <c r="L13" s="72">
        <f>MIN(L11,ROUND(L11*Supuestos!$C$71*Supuestos!$F$13,0))</f>
        <v>17</v>
      </c>
      <c r="M13" s="72">
        <f>MIN(M11,ROUND(M11*Supuestos!$C$71*Supuestos!$F$13,0))</f>
        <v>18</v>
      </c>
      <c r="N13" s="72">
        <f>MIN(N11,ROUND(N11*Supuestos!$C$71*Supuestos!$F$13,0))</f>
        <v>17</v>
      </c>
      <c r="O13" s="73">
        <f>SUM(C13:N13)</f>
        <v>159</v>
      </c>
    </row>
    <row r="14" spans="2:19" x14ac:dyDescent="0.2">
      <c r="B14" s="65" t="s">
        <v>224</v>
      </c>
      <c r="C14" s="74">
        <f t="shared" ref="C14:N14" si="1">C11+C12-C13</f>
        <v>225</v>
      </c>
      <c r="D14" s="74">
        <f t="shared" si="1"/>
        <v>271</v>
      </c>
      <c r="E14" s="74">
        <f t="shared" si="1"/>
        <v>300</v>
      </c>
      <c r="F14" s="74">
        <f t="shared" si="1"/>
        <v>313</v>
      </c>
      <c r="G14" s="74">
        <f t="shared" si="1"/>
        <v>360</v>
      </c>
      <c r="H14" s="74">
        <f t="shared" si="1"/>
        <v>386</v>
      </c>
      <c r="I14" s="74">
        <f t="shared" si="1"/>
        <v>406</v>
      </c>
      <c r="J14" s="74">
        <f t="shared" si="1"/>
        <v>420</v>
      </c>
      <c r="K14" s="74">
        <f t="shared" si="1"/>
        <v>433</v>
      </c>
      <c r="L14" s="74">
        <f t="shared" si="1"/>
        <v>438</v>
      </c>
      <c r="M14" s="74">
        <f t="shared" si="1"/>
        <v>435</v>
      </c>
      <c r="N14" s="74">
        <f t="shared" si="1"/>
        <v>430</v>
      </c>
      <c r="O14" s="73">
        <f>N14</f>
        <v>430</v>
      </c>
    </row>
    <row r="15" spans="2:19" ht="18" customHeight="1" x14ac:dyDescent="0.2">
      <c r="B15" s="71" t="s">
        <v>225</v>
      </c>
    </row>
    <row r="16" spans="2:19" x14ac:dyDescent="0.2">
      <c r="B16" s="7" t="s">
        <v>226</v>
      </c>
      <c r="C16" s="59">
        <f>C14*Supuestos!$C$45*Supuestos!$F$14*(1+Supuestos!$C$112)^INT((C$9-1)/12)</f>
        <v>8265.5999999999985</v>
      </c>
      <c r="D16" s="59">
        <f>D14*Supuestos!$C$45*Supuestos!$F$14*(1+Supuestos!$C$112)^INT((D$9-1)/12)</f>
        <v>9955.4559999999983</v>
      </c>
      <c r="E16" s="59">
        <f>E14*Supuestos!$C$45*Supuestos!$F$14*(1+Supuestos!$C$112)^INT((E$9-1)/12)</f>
        <v>11020.8</v>
      </c>
      <c r="F16" s="59">
        <f>F14*Supuestos!$C$45*Supuestos!$F$14*(1+Supuestos!$C$112)^INT((F$9-1)/12)</f>
        <v>11498.367999999999</v>
      </c>
      <c r="G16" s="59">
        <f>G14*Supuestos!$C$45*Supuestos!$F$14*(1+Supuestos!$C$112)^INT((G$9-1)/12)</f>
        <v>13224.96</v>
      </c>
      <c r="H16" s="59">
        <f>H14*Supuestos!$C$45*Supuestos!$F$14*(1+Supuestos!$C$112)^INT((H$9-1)/12)</f>
        <v>14180.096</v>
      </c>
      <c r="I16" s="59">
        <f>I14*Supuestos!$C$45*Supuestos!$F$14*(1+Supuestos!$C$112)^INT((I$9-1)/12)</f>
        <v>14914.815999999999</v>
      </c>
      <c r="J16" s="59">
        <f>J14*Supuestos!$C$45*Supuestos!$F$14*(1+Supuestos!$C$112)^INT((J$9-1)/12)</f>
        <v>15429.119999999999</v>
      </c>
      <c r="K16" s="59">
        <f>K14*Supuestos!$C$45*Supuestos!$F$14*(1+Supuestos!$C$112)^INT((K$9-1)/12)</f>
        <v>15906.687999999998</v>
      </c>
      <c r="L16" s="59">
        <f>L14*Supuestos!$C$45*Supuestos!$F$14*(1+Supuestos!$C$112)^INT((L$9-1)/12)</f>
        <v>16090.367999999999</v>
      </c>
      <c r="M16" s="59">
        <f>M14*Supuestos!$C$45*Supuestos!$F$14*(1+Supuestos!$C$112)^INT((M$9-1)/12)</f>
        <v>15980.159999999998</v>
      </c>
      <c r="N16" s="59">
        <f>N14*Supuestos!$C$45*Supuestos!$F$14*(1+Supuestos!$C$112)^INT((N$9-1)/12)</f>
        <v>15796.48</v>
      </c>
      <c r="O16" s="75">
        <f>SUM(C16:N16)</f>
        <v>162262.91199999998</v>
      </c>
    </row>
    <row r="17" spans="2:15" x14ac:dyDescent="0.2">
      <c r="B17" s="7" t="s">
        <v>227</v>
      </c>
      <c r="C17" s="59">
        <f>C12*Supuestos!$C$47*(1+Supuestos!$C$112)^INT((C$9-1)/12)</f>
        <v>4500</v>
      </c>
      <c r="D17" s="59">
        <f>D12*Supuestos!$C$47*(1+Supuestos!$C$112)^INT((D$9-1)/12)</f>
        <v>1100</v>
      </c>
      <c r="E17" s="59">
        <f>E12*Supuestos!$C$47*(1+Supuestos!$C$112)^INT((E$9-1)/12)</f>
        <v>800</v>
      </c>
      <c r="F17" s="59">
        <f>F12*Supuestos!$C$47*(1+Supuestos!$C$112)^INT((F$9-1)/12)</f>
        <v>500</v>
      </c>
      <c r="G17" s="59">
        <f>G12*Supuestos!$C$47*(1+Supuestos!$C$112)^INT((G$9-1)/12)</f>
        <v>1200</v>
      </c>
      <c r="H17" s="59">
        <f>H12*Supuestos!$C$47*(1+Supuestos!$C$112)^INT((H$9-1)/12)</f>
        <v>800</v>
      </c>
      <c r="I17" s="59">
        <f>I12*Supuestos!$C$47*(1+Supuestos!$C$112)^INT((I$9-1)/12)</f>
        <v>700</v>
      </c>
      <c r="J17" s="59">
        <f>J12*Supuestos!$C$47*(1+Supuestos!$C$112)^INT((J$9-1)/12)</f>
        <v>600</v>
      </c>
      <c r="K17" s="59">
        <f>K12*Supuestos!$C$47*(1+Supuestos!$C$112)^INT((K$9-1)/12)</f>
        <v>600</v>
      </c>
      <c r="L17" s="59">
        <f>L12*Supuestos!$C$47*(1+Supuestos!$C$112)^INT((L$9-1)/12)</f>
        <v>440</v>
      </c>
      <c r="M17" s="59">
        <f>M12*Supuestos!$C$47*(1+Supuestos!$C$112)^INT((M$9-1)/12)</f>
        <v>300</v>
      </c>
      <c r="N17" s="59">
        <f>N12*Supuestos!$C$47*(1+Supuestos!$C$112)^INT((N$9-1)/12)</f>
        <v>240</v>
      </c>
      <c r="O17" s="75">
        <f>SUM(C17:N17)</f>
        <v>11780</v>
      </c>
    </row>
    <row r="18" spans="2:15" x14ac:dyDescent="0.2">
      <c r="B18" s="7" t="s">
        <v>228</v>
      </c>
      <c r="C18" s="59">
        <f>C14*(Supuestos!$C$48+Supuestos!$C$49)*(1+Supuestos!$C$112)^INT((C$9-1)/12)</f>
        <v>1237.5</v>
      </c>
      <c r="D18" s="59">
        <f>D14*(Supuestos!$C$48+Supuestos!$C$49)*(1+Supuestos!$C$112)^INT((D$9-1)/12)</f>
        <v>1490.5</v>
      </c>
      <c r="E18" s="59">
        <f>E14*(Supuestos!$C$48+Supuestos!$C$49)*(1+Supuestos!$C$112)^INT((E$9-1)/12)</f>
        <v>1650</v>
      </c>
      <c r="F18" s="59">
        <f>F14*(Supuestos!$C$48+Supuestos!$C$49)*(1+Supuestos!$C$112)^INT((F$9-1)/12)</f>
        <v>1721.5</v>
      </c>
      <c r="G18" s="59">
        <f>G14*(Supuestos!$C$48+Supuestos!$C$49)*(1+Supuestos!$C$112)^INT((G$9-1)/12)</f>
        <v>1980</v>
      </c>
      <c r="H18" s="59">
        <f>H14*(Supuestos!$C$48+Supuestos!$C$49)*(1+Supuestos!$C$112)^INT((H$9-1)/12)</f>
        <v>2123</v>
      </c>
      <c r="I18" s="59">
        <f>I14*(Supuestos!$C$48+Supuestos!$C$49)*(1+Supuestos!$C$112)^INT((I$9-1)/12)</f>
        <v>2233</v>
      </c>
      <c r="J18" s="59">
        <f>J14*(Supuestos!$C$48+Supuestos!$C$49)*(1+Supuestos!$C$112)^INT((J$9-1)/12)</f>
        <v>2310</v>
      </c>
      <c r="K18" s="59">
        <f>K14*(Supuestos!$C$48+Supuestos!$C$49)*(1+Supuestos!$C$112)^INT((K$9-1)/12)</f>
        <v>2381.5</v>
      </c>
      <c r="L18" s="59">
        <f>L14*(Supuestos!$C$48+Supuestos!$C$49)*(1+Supuestos!$C$112)^INT((L$9-1)/12)</f>
        <v>2409</v>
      </c>
      <c r="M18" s="59">
        <f>M14*(Supuestos!$C$48+Supuestos!$C$49)*(1+Supuestos!$C$112)^INT((M$9-1)/12)</f>
        <v>2392.5</v>
      </c>
      <c r="N18" s="59">
        <f>N14*(Supuestos!$C$48+Supuestos!$C$49)*(1+Supuestos!$C$112)^INT((N$9-1)/12)</f>
        <v>2365</v>
      </c>
      <c r="O18" s="75">
        <f>SUM(C18:N18)</f>
        <v>24293.5</v>
      </c>
    </row>
    <row r="19" spans="2:15" x14ac:dyDescent="0.2">
      <c r="B19" s="65" t="s">
        <v>229</v>
      </c>
      <c r="C19" s="76">
        <f t="shared" ref="C19:N19" si="2">SUM(C16:C18)</f>
        <v>14003.099999999999</v>
      </c>
      <c r="D19" s="76">
        <f t="shared" si="2"/>
        <v>12545.955999999998</v>
      </c>
      <c r="E19" s="76">
        <f t="shared" si="2"/>
        <v>13470.8</v>
      </c>
      <c r="F19" s="76">
        <f t="shared" si="2"/>
        <v>13719.867999999999</v>
      </c>
      <c r="G19" s="76">
        <f t="shared" si="2"/>
        <v>16404.96</v>
      </c>
      <c r="H19" s="76">
        <f t="shared" si="2"/>
        <v>17103.095999999998</v>
      </c>
      <c r="I19" s="76">
        <f t="shared" si="2"/>
        <v>17847.815999999999</v>
      </c>
      <c r="J19" s="76">
        <f t="shared" si="2"/>
        <v>18339.12</v>
      </c>
      <c r="K19" s="76">
        <f t="shared" si="2"/>
        <v>18888.187999999998</v>
      </c>
      <c r="L19" s="76">
        <f t="shared" si="2"/>
        <v>18939.367999999999</v>
      </c>
      <c r="M19" s="76">
        <f t="shared" si="2"/>
        <v>18672.659999999996</v>
      </c>
      <c r="N19" s="76">
        <f t="shared" si="2"/>
        <v>18401.48</v>
      </c>
      <c r="O19" s="75">
        <f>SUM(C19:N19)</f>
        <v>198336.41199999998</v>
      </c>
    </row>
    <row r="20" spans="2:15" ht="18" customHeight="1" x14ac:dyDescent="0.2">
      <c r="B20" s="71" t="s">
        <v>230</v>
      </c>
    </row>
    <row r="21" spans="2:15" x14ac:dyDescent="0.2">
      <c r="B21" s="7" t="s">
        <v>231</v>
      </c>
      <c r="C21" s="59">
        <f>Supuestos!$G$83*(1+Supuestos!$C$113)^INT((C$9-1)/12)</f>
        <v>8800</v>
      </c>
      <c r="D21" s="59">
        <f>Supuestos!$G$83*(1+Supuestos!$C$113)^INT((D$9-1)/12)</f>
        <v>8800</v>
      </c>
      <c r="E21" s="59">
        <f>Supuestos!$G$83*(1+Supuestos!$C$113)^INT((E$9-1)/12)</f>
        <v>8800</v>
      </c>
      <c r="F21" s="59">
        <f>Supuestos!$G$83*(1+Supuestos!$C$113)^INT((F$9-1)/12)</f>
        <v>8800</v>
      </c>
      <c r="G21" s="59">
        <f>Supuestos!$G$83*(1+Supuestos!$C$113)^INT((G$9-1)/12)</f>
        <v>8800</v>
      </c>
      <c r="H21" s="59">
        <f>Supuestos!$G$83*(1+Supuestos!$C$113)^INT((H$9-1)/12)</f>
        <v>8800</v>
      </c>
      <c r="I21" s="59">
        <f>Supuestos!$G$83*(1+Supuestos!$C$113)^INT((I$9-1)/12)</f>
        <v>8800</v>
      </c>
      <c r="J21" s="59">
        <f>Supuestos!$G$83*(1+Supuestos!$C$113)^INT((J$9-1)/12)</f>
        <v>8800</v>
      </c>
      <c r="K21" s="59">
        <f>Supuestos!$G$83*(1+Supuestos!$C$113)^INT((K$9-1)/12)</f>
        <v>8800</v>
      </c>
      <c r="L21" s="59">
        <f>Supuestos!$G$83*(1+Supuestos!$C$113)^INT((L$9-1)/12)</f>
        <v>8800</v>
      </c>
      <c r="M21" s="59">
        <f>Supuestos!$G$83*(1+Supuestos!$C$113)^INT((M$9-1)/12)</f>
        <v>8800</v>
      </c>
      <c r="N21" s="59">
        <f>Supuestos!$G$83*(1+Supuestos!$C$113)^INT((N$9-1)/12)</f>
        <v>8800</v>
      </c>
      <c r="O21" s="75">
        <f t="shared" ref="O21:O31" si="3">SUM(C21:N21)</f>
        <v>105600</v>
      </c>
    </row>
    <row r="22" spans="2:15" x14ac:dyDescent="0.2">
      <c r="B22" s="7" t="s">
        <v>147</v>
      </c>
      <c r="C22" s="59">
        <f>Supuestos!$C$86*(1+Supuestos!$C$113)^INT((C$9-1)/12)</f>
        <v>3600</v>
      </c>
      <c r="D22" s="59">
        <f>Supuestos!$C$86*(1+Supuestos!$C$113)^INT((D$9-1)/12)</f>
        <v>3600</v>
      </c>
      <c r="E22" s="59">
        <f>Supuestos!$C$86*(1+Supuestos!$C$113)^INT((E$9-1)/12)</f>
        <v>3600</v>
      </c>
      <c r="F22" s="59">
        <f>Supuestos!$C$86*(1+Supuestos!$C$113)^INT((F$9-1)/12)</f>
        <v>3600</v>
      </c>
      <c r="G22" s="59">
        <f>Supuestos!$C$86*(1+Supuestos!$C$113)^INT((G$9-1)/12)</f>
        <v>3600</v>
      </c>
      <c r="H22" s="59">
        <f>Supuestos!$C$86*(1+Supuestos!$C$113)^INT((H$9-1)/12)</f>
        <v>3600</v>
      </c>
      <c r="I22" s="59">
        <f>Supuestos!$C$86*(1+Supuestos!$C$113)^INT((I$9-1)/12)</f>
        <v>3600</v>
      </c>
      <c r="J22" s="59">
        <f>Supuestos!$C$86*(1+Supuestos!$C$113)^INT((J$9-1)/12)</f>
        <v>3600</v>
      </c>
      <c r="K22" s="59">
        <f>Supuestos!$C$86*(1+Supuestos!$C$113)^INT((K$9-1)/12)</f>
        <v>3600</v>
      </c>
      <c r="L22" s="59">
        <f>Supuestos!$C$86*(1+Supuestos!$C$113)^INT((L$9-1)/12)</f>
        <v>3600</v>
      </c>
      <c r="M22" s="59">
        <f>Supuestos!$C$86*(1+Supuestos!$C$113)^INT((M$9-1)/12)</f>
        <v>3600</v>
      </c>
      <c r="N22" s="59">
        <f>Supuestos!$C$86*(1+Supuestos!$C$113)^INT((N$9-1)/12)</f>
        <v>3600</v>
      </c>
      <c r="O22" s="75">
        <f t="shared" si="3"/>
        <v>43200</v>
      </c>
    </row>
    <row r="23" spans="2:15" x14ac:dyDescent="0.2">
      <c r="B23" s="7" t="s">
        <v>232</v>
      </c>
      <c r="C23" s="59">
        <f>Supuestos!$C$87*(1+Supuestos!$C$113)^INT((C$9-1)/12)</f>
        <v>1500</v>
      </c>
      <c r="D23" s="59">
        <f>Supuestos!$C$87*(1+Supuestos!$C$113)^INT((D$9-1)/12)</f>
        <v>1500</v>
      </c>
      <c r="E23" s="59">
        <f>Supuestos!$C$87*(1+Supuestos!$C$113)^INT((E$9-1)/12)</f>
        <v>1500</v>
      </c>
      <c r="F23" s="59">
        <f>Supuestos!$C$87*(1+Supuestos!$C$113)^INT((F$9-1)/12)</f>
        <v>1500</v>
      </c>
      <c r="G23" s="59">
        <f>Supuestos!$C$87*(1+Supuestos!$C$113)^INT((G$9-1)/12)</f>
        <v>1500</v>
      </c>
      <c r="H23" s="59">
        <f>Supuestos!$C$87*(1+Supuestos!$C$113)^INT((H$9-1)/12)</f>
        <v>1500</v>
      </c>
      <c r="I23" s="59">
        <f>Supuestos!$C$87*(1+Supuestos!$C$113)^INT((I$9-1)/12)</f>
        <v>1500</v>
      </c>
      <c r="J23" s="59">
        <f>Supuestos!$C$87*(1+Supuestos!$C$113)^INT((J$9-1)/12)</f>
        <v>1500</v>
      </c>
      <c r="K23" s="59">
        <f>Supuestos!$C$87*(1+Supuestos!$C$113)^INT((K$9-1)/12)</f>
        <v>1500</v>
      </c>
      <c r="L23" s="59">
        <f>Supuestos!$C$87*(1+Supuestos!$C$113)^INT((L$9-1)/12)</f>
        <v>1500</v>
      </c>
      <c r="M23" s="59">
        <f>Supuestos!$C$87*(1+Supuestos!$C$113)^INT((M$9-1)/12)</f>
        <v>1500</v>
      </c>
      <c r="N23" s="59">
        <f>Supuestos!$C$87*(1+Supuestos!$C$113)^INT((N$9-1)/12)</f>
        <v>1500</v>
      </c>
      <c r="O23" s="75">
        <f t="shared" si="3"/>
        <v>18000</v>
      </c>
    </row>
    <row r="24" spans="2:15" x14ac:dyDescent="0.2">
      <c r="B24" s="7" t="s">
        <v>233</v>
      </c>
      <c r="C24" s="59">
        <f>Supuestos!$C$88*(1+Supuestos!$C$113)^INT((C$9-1)/12)</f>
        <v>150</v>
      </c>
      <c r="D24" s="59">
        <f>Supuestos!$C$88*(1+Supuestos!$C$113)^INT((D$9-1)/12)</f>
        <v>150</v>
      </c>
      <c r="E24" s="59">
        <f>Supuestos!$C$88*(1+Supuestos!$C$113)^INT((E$9-1)/12)</f>
        <v>150</v>
      </c>
      <c r="F24" s="59">
        <f>Supuestos!$C$88*(1+Supuestos!$C$113)^INT((F$9-1)/12)</f>
        <v>150</v>
      </c>
      <c r="G24" s="59">
        <f>Supuestos!$C$88*(1+Supuestos!$C$113)^INT((G$9-1)/12)</f>
        <v>150</v>
      </c>
      <c r="H24" s="59">
        <f>Supuestos!$C$88*(1+Supuestos!$C$113)^INT((H$9-1)/12)</f>
        <v>150</v>
      </c>
      <c r="I24" s="59">
        <f>Supuestos!$C$88*(1+Supuestos!$C$113)^INT((I$9-1)/12)</f>
        <v>150</v>
      </c>
      <c r="J24" s="59">
        <f>Supuestos!$C$88*(1+Supuestos!$C$113)^INT((J$9-1)/12)</f>
        <v>150</v>
      </c>
      <c r="K24" s="59">
        <f>Supuestos!$C$88*(1+Supuestos!$C$113)^INT((K$9-1)/12)</f>
        <v>150</v>
      </c>
      <c r="L24" s="59">
        <f>Supuestos!$C$88*(1+Supuestos!$C$113)^INT((L$9-1)/12)</f>
        <v>150</v>
      </c>
      <c r="M24" s="59">
        <f>Supuestos!$C$88*(1+Supuestos!$C$113)^INT((M$9-1)/12)</f>
        <v>150</v>
      </c>
      <c r="N24" s="59">
        <f>Supuestos!$C$88*(1+Supuestos!$C$113)^INT((N$9-1)/12)</f>
        <v>150</v>
      </c>
      <c r="O24" s="75">
        <f t="shared" si="3"/>
        <v>1800</v>
      </c>
    </row>
    <row r="25" spans="2:15" x14ac:dyDescent="0.2">
      <c r="B25" s="7" t="s">
        <v>153</v>
      </c>
      <c r="C25" s="59">
        <f>Supuestos!$C$89*(1+Supuestos!$C$113)^INT((C$9-1)/12)</f>
        <v>180</v>
      </c>
      <c r="D25" s="59">
        <f>Supuestos!$C$89*(1+Supuestos!$C$113)^INT((D$9-1)/12)</f>
        <v>180</v>
      </c>
      <c r="E25" s="59">
        <f>Supuestos!$C$89*(1+Supuestos!$C$113)^INT((E$9-1)/12)</f>
        <v>180</v>
      </c>
      <c r="F25" s="59">
        <f>Supuestos!$C$89*(1+Supuestos!$C$113)^INT((F$9-1)/12)</f>
        <v>180</v>
      </c>
      <c r="G25" s="59">
        <f>Supuestos!$C$89*(1+Supuestos!$C$113)^INT((G$9-1)/12)</f>
        <v>180</v>
      </c>
      <c r="H25" s="59">
        <f>Supuestos!$C$89*(1+Supuestos!$C$113)^INT((H$9-1)/12)</f>
        <v>180</v>
      </c>
      <c r="I25" s="59">
        <f>Supuestos!$C$89*(1+Supuestos!$C$113)^INT((I$9-1)/12)</f>
        <v>180</v>
      </c>
      <c r="J25" s="59">
        <f>Supuestos!$C$89*(1+Supuestos!$C$113)^INT((J$9-1)/12)</f>
        <v>180</v>
      </c>
      <c r="K25" s="59">
        <f>Supuestos!$C$89*(1+Supuestos!$C$113)^INT((K$9-1)/12)</f>
        <v>180</v>
      </c>
      <c r="L25" s="59">
        <f>Supuestos!$C$89*(1+Supuestos!$C$113)^INT((L$9-1)/12)</f>
        <v>180</v>
      </c>
      <c r="M25" s="59">
        <f>Supuestos!$C$89*(1+Supuestos!$C$113)^INT((M$9-1)/12)</f>
        <v>180</v>
      </c>
      <c r="N25" s="59">
        <f>Supuestos!$C$89*(1+Supuestos!$C$113)^INT((N$9-1)/12)</f>
        <v>180</v>
      </c>
      <c r="O25" s="75">
        <f t="shared" si="3"/>
        <v>2160</v>
      </c>
    </row>
    <row r="26" spans="2:15" x14ac:dyDescent="0.2">
      <c r="B26" s="7" t="s">
        <v>155</v>
      </c>
      <c r="C26" s="59">
        <f>Supuestos!$C$90*(1+Supuestos!$C$113)^INT((C$9-1)/12)</f>
        <v>400</v>
      </c>
      <c r="D26" s="59">
        <f>Supuestos!$C$90*(1+Supuestos!$C$113)^INT((D$9-1)/12)</f>
        <v>400</v>
      </c>
      <c r="E26" s="59">
        <f>Supuestos!$C$90*(1+Supuestos!$C$113)^INT((E$9-1)/12)</f>
        <v>400</v>
      </c>
      <c r="F26" s="59">
        <f>Supuestos!$C$90*(1+Supuestos!$C$113)^INT((F$9-1)/12)</f>
        <v>400</v>
      </c>
      <c r="G26" s="59">
        <f>Supuestos!$C$90*(1+Supuestos!$C$113)^INT((G$9-1)/12)</f>
        <v>400</v>
      </c>
      <c r="H26" s="59">
        <f>Supuestos!$C$90*(1+Supuestos!$C$113)^INT((H$9-1)/12)</f>
        <v>400</v>
      </c>
      <c r="I26" s="59">
        <f>Supuestos!$C$90*(1+Supuestos!$C$113)^INT((I$9-1)/12)</f>
        <v>400</v>
      </c>
      <c r="J26" s="59">
        <f>Supuestos!$C$90*(1+Supuestos!$C$113)^INT((J$9-1)/12)</f>
        <v>400</v>
      </c>
      <c r="K26" s="59">
        <f>Supuestos!$C$90*(1+Supuestos!$C$113)^INT((K$9-1)/12)</f>
        <v>400</v>
      </c>
      <c r="L26" s="59">
        <f>Supuestos!$C$90*(1+Supuestos!$C$113)^INT((L$9-1)/12)</f>
        <v>400</v>
      </c>
      <c r="M26" s="59">
        <f>Supuestos!$C$90*(1+Supuestos!$C$113)^INT((M$9-1)/12)</f>
        <v>400</v>
      </c>
      <c r="N26" s="59">
        <f>Supuestos!$C$90*(1+Supuestos!$C$113)^INT((N$9-1)/12)</f>
        <v>400</v>
      </c>
      <c r="O26" s="75">
        <f t="shared" si="3"/>
        <v>4800</v>
      </c>
    </row>
    <row r="27" spans="2:15" x14ac:dyDescent="0.2">
      <c r="B27" s="7" t="s">
        <v>157</v>
      </c>
      <c r="C27" s="59">
        <f>Supuestos!$C$91*(1+Supuestos!$C$113)^INT((C$9-1)/12)</f>
        <v>1100</v>
      </c>
      <c r="D27" s="59">
        <f>Supuestos!$C$91*(1+Supuestos!$C$113)^INT((D$9-1)/12)</f>
        <v>1100</v>
      </c>
      <c r="E27" s="59">
        <f>Supuestos!$C$91*(1+Supuestos!$C$113)^INT((E$9-1)/12)</f>
        <v>1100</v>
      </c>
      <c r="F27" s="59">
        <f>Supuestos!$C$91*(1+Supuestos!$C$113)^INT((F$9-1)/12)</f>
        <v>1100</v>
      </c>
      <c r="G27" s="59">
        <f>Supuestos!$C$91*(1+Supuestos!$C$113)^INT((G$9-1)/12)</f>
        <v>1100</v>
      </c>
      <c r="H27" s="59">
        <f>Supuestos!$C$91*(1+Supuestos!$C$113)^INT((H$9-1)/12)</f>
        <v>1100</v>
      </c>
      <c r="I27" s="59">
        <f>Supuestos!$C$91*(1+Supuestos!$C$113)^INT((I$9-1)/12)</f>
        <v>1100</v>
      </c>
      <c r="J27" s="59">
        <f>Supuestos!$C$91*(1+Supuestos!$C$113)^INT((J$9-1)/12)</f>
        <v>1100</v>
      </c>
      <c r="K27" s="59">
        <f>Supuestos!$C$91*(1+Supuestos!$C$113)^INT((K$9-1)/12)</f>
        <v>1100</v>
      </c>
      <c r="L27" s="59">
        <f>Supuestos!$C$91*(1+Supuestos!$C$113)^INT((L$9-1)/12)</f>
        <v>1100</v>
      </c>
      <c r="M27" s="59">
        <f>Supuestos!$C$91*(1+Supuestos!$C$113)^INT((M$9-1)/12)</f>
        <v>1100</v>
      </c>
      <c r="N27" s="59">
        <f>Supuestos!$C$91*(1+Supuestos!$C$113)^INT((N$9-1)/12)</f>
        <v>1100</v>
      </c>
      <c r="O27" s="75">
        <f t="shared" si="3"/>
        <v>13200</v>
      </c>
    </row>
    <row r="28" spans="2:15" x14ac:dyDescent="0.2">
      <c r="B28" s="7" t="s">
        <v>159</v>
      </c>
      <c r="C28" s="59">
        <f>Supuestos!$C$92*(1+Supuestos!$C$113)^INT((C$9-1)/12)</f>
        <v>300</v>
      </c>
      <c r="D28" s="59">
        <f>Supuestos!$C$92*(1+Supuestos!$C$113)^INT((D$9-1)/12)</f>
        <v>300</v>
      </c>
      <c r="E28" s="59">
        <f>Supuestos!$C$92*(1+Supuestos!$C$113)^INT((E$9-1)/12)</f>
        <v>300</v>
      </c>
      <c r="F28" s="59">
        <f>Supuestos!$C$92*(1+Supuestos!$C$113)^INT((F$9-1)/12)</f>
        <v>300</v>
      </c>
      <c r="G28" s="59">
        <f>Supuestos!$C$92*(1+Supuestos!$C$113)^INT((G$9-1)/12)</f>
        <v>300</v>
      </c>
      <c r="H28" s="59">
        <f>Supuestos!$C$92*(1+Supuestos!$C$113)^INT((H$9-1)/12)</f>
        <v>300</v>
      </c>
      <c r="I28" s="59">
        <f>Supuestos!$C$92*(1+Supuestos!$C$113)^INT((I$9-1)/12)</f>
        <v>300</v>
      </c>
      <c r="J28" s="59">
        <f>Supuestos!$C$92*(1+Supuestos!$C$113)^INT((J$9-1)/12)</f>
        <v>300</v>
      </c>
      <c r="K28" s="59">
        <f>Supuestos!$C$92*(1+Supuestos!$C$113)^INT((K$9-1)/12)</f>
        <v>300</v>
      </c>
      <c r="L28" s="59">
        <f>Supuestos!$C$92*(1+Supuestos!$C$113)^INT((L$9-1)/12)</f>
        <v>300</v>
      </c>
      <c r="M28" s="59">
        <f>Supuestos!$C$92*(1+Supuestos!$C$113)^INT((M$9-1)/12)</f>
        <v>300</v>
      </c>
      <c r="N28" s="59">
        <f>Supuestos!$C$92*(1+Supuestos!$C$113)^INT((N$9-1)/12)</f>
        <v>300</v>
      </c>
      <c r="O28" s="75">
        <f t="shared" si="3"/>
        <v>3600</v>
      </c>
    </row>
    <row r="29" spans="2:15" x14ac:dyDescent="0.2">
      <c r="B29" s="7" t="s">
        <v>161</v>
      </c>
      <c r="C29" s="59">
        <f>Supuestos!$C$93*(1+Supuestos!$C$113)^INT((C$9-1)/12)</f>
        <v>800</v>
      </c>
      <c r="D29" s="59">
        <f>Supuestos!$C$93*(1+Supuestos!$C$113)^INT((D$9-1)/12)</f>
        <v>800</v>
      </c>
      <c r="E29" s="59">
        <f>Supuestos!$C$93*(1+Supuestos!$C$113)^INT((E$9-1)/12)</f>
        <v>800</v>
      </c>
      <c r="F29" s="59">
        <f>Supuestos!$C$93*(1+Supuestos!$C$113)^INT((F$9-1)/12)</f>
        <v>800</v>
      </c>
      <c r="G29" s="59">
        <f>Supuestos!$C$93*(1+Supuestos!$C$113)^INT((G$9-1)/12)</f>
        <v>800</v>
      </c>
      <c r="H29" s="59">
        <f>Supuestos!$C$93*(1+Supuestos!$C$113)^INT((H$9-1)/12)</f>
        <v>800</v>
      </c>
      <c r="I29" s="59">
        <f>Supuestos!$C$93*(1+Supuestos!$C$113)^INT((I$9-1)/12)</f>
        <v>800</v>
      </c>
      <c r="J29" s="59">
        <f>Supuestos!$C$93*(1+Supuestos!$C$113)^INT((J$9-1)/12)</f>
        <v>800</v>
      </c>
      <c r="K29" s="59">
        <f>Supuestos!$C$93*(1+Supuestos!$C$113)^INT((K$9-1)/12)</f>
        <v>800</v>
      </c>
      <c r="L29" s="59">
        <f>Supuestos!$C$93*(1+Supuestos!$C$113)^INT((L$9-1)/12)</f>
        <v>800</v>
      </c>
      <c r="M29" s="59">
        <f>Supuestos!$C$93*(1+Supuestos!$C$113)^INT((M$9-1)/12)</f>
        <v>800</v>
      </c>
      <c r="N29" s="59">
        <f>Supuestos!$C$93*(1+Supuestos!$C$113)^INT((N$9-1)/12)</f>
        <v>800</v>
      </c>
      <c r="O29" s="75">
        <f t="shared" si="3"/>
        <v>9600</v>
      </c>
    </row>
    <row r="30" spans="2:15" x14ac:dyDescent="0.2">
      <c r="B30" s="7" t="s">
        <v>145</v>
      </c>
      <c r="C30" s="59">
        <f>Supuestos!$C$94*(1+Supuestos!$C$113)^INT((C$9-1)/12)</f>
        <v>500</v>
      </c>
      <c r="D30" s="59">
        <f>Supuestos!$C$94*(1+Supuestos!$C$113)^INT((D$9-1)/12)</f>
        <v>500</v>
      </c>
      <c r="E30" s="59">
        <f>Supuestos!$C$94*(1+Supuestos!$C$113)^INT((E$9-1)/12)</f>
        <v>500</v>
      </c>
      <c r="F30" s="59">
        <f>Supuestos!$C$94*(1+Supuestos!$C$113)^INT((F$9-1)/12)</f>
        <v>500</v>
      </c>
      <c r="G30" s="59">
        <f>Supuestos!$C$94*(1+Supuestos!$C$113)^INT((G$9-1)/12)</f>
        <v>500</v>
      </c>
      <c r="H30" s="59">
        <f>Supuestos!$C$94*(1+Supuestos!$C$113)^INT((H$9-1)/12)</f>
        <v>500</v>
      </c>
      <c r="I30" s="59">
        <f>Supuestos!$C$94*(1+Supuestos!$C$113)^INT((I$9-1)/12)</f>
        <v>500</v>
      </c>
      <c r="J30" s="59">
        <f>Supuestos!$C$94*(1+Supuestos!$C$113)^INT((J$9-1)/12)</f>
        <v>500</v>
      </c>
      <c r="K30" s="59">
        <f>Supuestos!$C$94*(1+Supuestos!$C$113)^INT((K$9-1)/12)</f>
        <v>500</v>
      </c>
      <c r="L30" s="59">
        <f>Supuestos!$C$94*(1+Supuestos!$C$113)^INT((L$9-1)/12)</f>
        <v>500</v>
      </c>
      <c r="M30" s="59">
        <f>Supuestos!$C$94*(1+Supuestos!$C$113)^INT((M$9-1)/12)</f>
        <v>500</v>
      </c>
      <c r="N30" s="59">
        <f>Supuestos!$C$94*(1+Supuestos!$C$113)^INT((N$9-1)/12)</f>
        <v>500</v>
      </c>
      <c r="O30" s="75">
        <f t="shared" si="3"/>
        <v>6000</v>
      </c>
    </row>
    <row r="31" spans="2:15" x14ac:dyDescent="0.2">
      <c r="B31" s="65" t="s">
        <v>234</v>
      </c>
      <c r="C31" s="76">
        <f t="shared" ref="C31:N31" si="4">SUM(C21:C30)</f>
        <v>17330</v>
      </c>
      <c r="D31" s="76">
        <f t="shared" si="4"/>
        <v>17330</v>
      </c>
      <c r="E31" s="76">
        <f t="shared" si="4"/>
        <v>17330</v>
      </c>
      <c r="F31" s="76">
        <f t="shared" si="4"/>
        <v>17330</v>
      </c>
      <c r="G31" s="76">
        <f t="shared" si="4"/>
        <v>17330</v>
      </c>
      <c r="H31" s="76">
        <f t="shared" si="4"/>
        <v>17330</v>
      </c>
      <c r="I31" s="76">
        <f t="shared" si="4"/>
        <v>17330</v>
      </c>
      <c r="J31" s="76">
        <f t="shared" si="4"/>
        <v>17330</v>
      </c>
      <c r="K31" s="76">
        <f t="shared" si="4"/>
        <v>17330</v>
      </c>
      <c r="L31" s="76">
        <f t="shared" si="4"/>
        <v>17330</v>
      </c>
      <c r="M31" s="76">
        <f t="shared" si="4"/>
        <v>17330</v>
      </c>
      <c r="N31" s="76">
        <f t="shared" si="4"/>
        <v>17330</v>
      </c>
      <c r="O31" s="75">
        <f t="shared" si="3"/>
        <v>207960</v>
      </c>
    </row>
    <row r="32" spans="2:15" ht="18" customHeight="1" x14ac:dyDescent="0.2">
      <c r="B32" s="71" t="s">
        <v>235</v>
      </c>
    </row>
    <row r="33" spans="2:15" x14ac:dyDescent="0.2">
      <c r="B33" s="7" t="s">
        <v>236</v>
      </c>
      <c r="C33" s="59">
        <f>C19*Supuestos!$C$98</f>
        <v>168.03719999999998</v>
      </c>
      <c r="D33" s="59">
        <f>D19*Supuestos!$C$98</f>
        <v>150.55147199999999</v>
      </c>
      <c r="E33" s="59">
        <f>E19*Supuestos!$C$98</f>
        <v>161.64959999999999</v>
      </c>
      <c r="F33" s="59">
        <f>F19*Supuestos!$C$98</f>
        <v>164.63841599999998</v>
      </c>
      <c r="G33" s="59">
        <f>G19*Supuestos!$C$98</f>
        <v>196.85952</v>
      </c>
      <c r="H33" s="59">
        <f>H19*Supuestos!$C$98</f>
        <v>205.23715199999998</v>
      </c>
      <c r="I33" s="59">
        <f>I19*Supuestos!$C$98</f>
        <v>214.17379199999999</v>
      </c>
      <c r="J33" s="59">
        <f>J19*Supuestos!$C$98</f>
        <v>220.06943999999999</v>
      </c>
      <c r="K33" s="59">
        <f>K19*Supuestos!$C$98</f>
        <v>226.65825599999999</v>
      </c>
      <c r="L33" s="59">
        <f>L19*Supuestos!$C$98</f>
        <v>227.27241599999999</v>
      </c>
      <c r="M33" s="59">
        <f>M19*Supuestos!$C$98</f>
        <v>224.07191999999995</v>
      </c>
      <c r="N33" s="59">
        <f>N19*Supuestos!$C$98</f>
        <v>220.81775999999999</v>
      </c>
      <c r="O33" s="75">
        <f>SUM(C33:N33)</f>
        <v>2380.0369439999999</v>
      </c>
    </row>
    <row r="34" spans="2:15" x14ac:dyDescent="0.2">
      <c r="B34" s="7" t="s">
        <v>237</v>
      </c>
      <c r="C34" s="59">
        <f>C18*Supuestos!$C$99</f>
        <v>618.75</v>
      </c>
      <c r="D34" s="59">
        <f>D18*Supuestos!$C$99</f>
        <v>745.25</v>
      </c>
      <c r="E34" s="59">
        <f>E18*Supuestos!$C$99</f>
        <v>825</v>
      </c>
      <c r="F34" s="59">
        <f>F18*Supuestos!$C$99</f>
        <v>860.75</v>
      </c>
      <c r="G34" s="59">
        <f>G18*Supuestos!$C$99</f>
        <v>990</v>
      </c>
      <c r="H34" s="59">
        <f>H18*Supuestos!$C$99</f>
        <v>1061.5</v>
      </c>
      <c r="I34" s="59">
        <f>I18*Supuestos!$C$99</f>
        <v>1116.5</v>
      </c>
      <c r="J34" s="59">
        <f>J18*Supuestos!$C$99</f>
        <v>1155</v>
      </c>
      <c r="K34" s="59">
        <f>K18*Supuestos!$C$99</f>
        <v>1190.75</v>
      </c>
      <c r="L34" s="59">
        <f>L18*Supuestos!$C$99</f>
        <v>1204.5</v>
      </c>
      <c r="M34" s="59">
        <f>M18*Supuestos!$C$99</f>
        <v>1196.25</v>
      </c>
      <c r="N34" s="59">
        <f>N18*Supuestos!$C$99</f>
        <v>1182.5</v>
      </c>
      <c r="O34" s="75">
        <f>SUM(C34:N34)</f>
        <v>12146.75</v>
      </c>
    </row>
    <row r="35" spans="2:15" x14ac:dyDescent="0.2">
      <c r="B35" s="65" t="s">
        <v>238</v>
      </c>
      <c r="C35" s="76">
        <f t="shared" ref="C35:N35" si="5">SUM(C33:C34)</f>
        <v>786.78719999999998</v>
      </c>
      <c r="D35" s="76">
        <f t="shared" si="5"/>
        <v>895.80147199999999</v>
      </c>
      <c r="E35" s="76">
        <f t="shared" si="5"/>
        <v>986.64959999999996</v>
      </c>
      <c r="F35" s="76">
        <f t="shared" si="5"/>
        <v>1025.388416</v>
      </c>
      <c r="G35" s="76">
        <f t="shared" si="5"/>
        <v>1186.85952</v>
      </c>
      <c r="H35" s="76">
        <f t="shared" si="5"/>
        <v>1266.7371519999999</v>
      </c>
      <c r="I35" s="76">
        <f t="shared" si="5"/>
        <v>1330.673792</v>
      </c>
      <c r="J35" s="76">
        <f t="shared" si="5"/>
        <v>1375.06944</v>
      </c>
      <c r="K35" s="76">
        <f t="shared" si="5"/>
        <v>1417.4082559999999</v>
      </c>
      <c r="L35" s="76">
        <f t="shared" si="5"/>
        <v>1431.772416</v>
      </c>
      <c r="M35" s="76">
        <f t="shared" si="5"/>
        <v>1420.3219199999999</v>
      </c>
      <c r="N35" s="76">
        <f t="shared" si="5"/>
        <v>1403.3177599999999</v>
      </c>
      <c r="O35" s="75">
        <f>SUM(C35:N35)</f>
        <v>14526.786943999999</v>
      </c>
    </row>
    <row r="36" spans="2:15" x14ac:dyDescent="0.2">
      <c r="B36" s="77" t="s">
        <v>210</v>
      </c>
      <c r="C36" s="78">
        <f t="shared" ref="C36:N36" si="6">C19-C31-C35</f>
        <v>-4113.6872000000012</v>
      </c>
      <c r="D36" s="78">
        <f t="shared" si="6"/>
        <v>-5679.8454720000018</v>
      </c>
      <c r="E36" s="78">
        <f t="shared" si="6"/>
        <v>-4845.8496000000005</v>
      </c>
      <c r="F36" s="78">
        <f t="shared" si="6"/>
        <v>-4635.5204160000012</v>
      </c>
      <c r="G36" s="78">
        <f t="shared" si="6"/>
        <v>-2111.8995200000008</v>
      </c>
      <c r="H36" s="78">
        <f t="shared" si="6"/>
        <v>-1493.6411520000022</v>
      </c>
      <c r="I36" s="78">
        <f t="shared" si="6"/>
        <v>-812.85779200000115</v>
      </c>
      <c r="J36" s="78">
        <f t="shared" si="6"/>
        <v>-365.949440000001</v>
      </c>
      <c r="K36" s="78">
        <f t="shared" si="6"/>
        <v>140.77974399999835</v>
      </c>
      <c r="L36" s="78">
        <f t="shared" si="6"/>
        <v>177.59558399999855</v>
      </c>
      <c r="M36" s="78">
        <f t="shared" si="6"/>
        <v>-77.661920000003647</v>
      </c>
      <c r="N36" s="78">
        <f t="shared" si="6"/>
        <v>-331.83776000000034</v>
      </c>
      <c r="O36" s="78">
        <f>SUM(C36:N36)</f>
        <v>-24150.37494400001</v>
      </c>
    </row>
    <row r="37" spans="2:15" ht="18" customHeight="1" x14ac:dyDescent="0.2">
      <c r="B37" s="71" t="s">
        <v>239</v>
      </c>
    </row>
    <row r="38" spans="2:15" x14ac:dyDescent="0.2">
      <c r="B38" s="7" t="s">
        <v>240</v>
      </c>
      <c r="C38" s="59">
        <f>IF(C$9&lt;=Supuestos!$C$106,C39,MIN(Supuestos!$C$108,Supuestos!$C$103+C39))</f>
        <v>750</v>
      </c>
      <c r="D38" s="59">
        <f>IF(D$9&lt;=Supuestos!$C$106,D39,MIN(Supuestos!$C$108,C41+D39))</f>
        <v>750</v>
      </c>
      <c r="E38" s="59">
        <f>IF(E$9&lt;=Supuestos!$C$106,E39,MIN(Supuestos!$C$108,D41+E39))</f>
        <v>750</v>
      </c>
      <c r="F38" s="59">
        <f>IF(F$9&lt;=Supuestos!$C$106,F39,MIN(Supuestos!$C$108,E41+F39))</f>
        <v>750</v>
      </c>
      <c r="G38" s="59">
        <f>IF(G$9&lt;=Supuestos!$C$106,G39,MIN(Supuestos!$C$108,F41+G39))</f>
        <v>750</v>
      </c>
      <c r="H38" s="59">
        <f>IF(H$9&lt;=Supuestos!$C$106,H39,MIN(Supuestos!$C$108,G41+H39))</f>
        <v>750</v>
      </c>
      <c r="I38" s="59">
        <f>IF(I$9&lt;=Supuestos!$C$106,I39,MIN(Supuestos!$C$108,H41+I39))</f>
        <v>2327.1337741042303</v>
      </c>
      <c r="J38" s="59">
        <f>IF(J$9&lt;=Supuestos!$C$106,J39,MIN(Supuestos!$C$108,I41+J39))</f>
        <v>2327.1337741042303</v>
      </c>
      <c r="K38" s="59">
        <f>IF(K$9&lt;=Supuestos!$C$106,K39,MIN(Supuestos!$C$108,J41+K39))</f>
        <v>2327.1337741042303</v>
      </c>
      <c r="L38" s="59">
        <f>IF(L$9&lt;=Supuestos!$C$106,L39,MIN(Supuestos!$C$108,K41+L39))</f>
        <v>2327.1337741042303</v>
      </c>
      <c r="M38" s="59">
        <f>IF(M$9&lt;=Supuestos!$C$106,M39,MIN(Supuestos!$C$108,L41+M39))</f>
        <v>2327.1337741042303</v>
      </c>
      <c r="N38" s="59">
        <f>IF(N$9&lt;=Supuestos!$C$106,N39,MIN(Supuestos!$C$108,M41+N39))</f>
        <v>2327.1337741042303</v>
      </c>
      <c r="O38" s="75">
        <f>SUM(C38:N38)</f>
        <v>18462.802644625379</v>
      </c>
    </row>
    <row r="39" spans="2:15" x14ac:dyDescent="0.2">
      <c r="B39" s="79" t="s">
        <v>241</v>
      </c>
      <c r="C39" s="80">
        <f>Supuestos!$C$103*Supuestos!$C$104/12</f>
        <v>750</v>
      </c>
      <c r="D39" s="80">
        <f>C41*Supuestos!$C$104/12</f>
        <v>750</v>
      </c>
      <c r="E39" s="80">
        <f>D41*Supuestos!$C$104/12</f>
        <v>750</v>
      </c>
      <c r="F39" s="80">
        <f>E41*Supuestos!$C$104/12</f>
        <v>750</v>
      </c>
      <c r="G39" s="80">
        <f>F41*Supuestos!$C$104/12</f>
        <v>750</v>
      </c>
      <c r="H39" s="80">
        <f>G41*Supuestos!$C$104/12</f>
        <v>750</v>
      </c>
      <c r="I39" s="80">
        <f>H41*Supuestos!$C$104/12</f>
        <v>750</v>
      </c>
      <c r="J39" s="80">
        <f>I41*Supuestos!$C$104/12</f>
        <v>742.11433112947873</v>
      </c>
      <c r="K39" s="80">
        <f>J41*Supuestos!$C$104/12</f>
        <v>734.18923391460487</v>
      </c>
      <c r="L39" s="80">
        <f>K41*Supuestos!$C$104/12</f>
        <v>726.22451121365668</v>
      </c>
      <c r="M39" s="80">
        <f>L41*Supuestos!$C$104/12</f>
        <v>718.219964899204</v>
      </c>
      <c r="N39" s="80">
        <f>M41*Supuestos!$C$104/12</f>
        <v>710.17539585317866</v>
      </c>
      <c r="O39" s="75">
        <f>SUM(C39:N39)</f>
        <v>8880.923437010124</v>
      </c>
    </row>
    <row r="40" spans="2:15" x14ac:dyDescent="0.2">
      <c r="B40" s="79" t="s">
        <v>242</v>
      </c>
      <c r="C40" s="80">
        <f t="shared" ref="C40:N40" si="7">C38-C39</f>
        <v>0</v>
      </c>
      <c r="D40" s="80">
        <f t="shared" si="7"/>
        <v>0</v>
      </c>
      <c r="E40" s="80">
        <f t="shared" si="7"/>
        <v>0</v>
      </c>
      <c r="F40" s="80">
        <f t="shared" si="7"/>
        <v>0</v>
      </c>
      <c r="G40" s="80">
        <f t="shared" si="7"/>
        <v>0</v>
      </c>
      <c r="H40" s="80">
        <f t="shared" si="7"/>
        <v>0</v>
      </c>
      <c r="I40" s="80">
        <f t="shared" si="7"/>
        <v>1577.1337741042303</v>
      </c>
      <c r="J40" s="80">
        <f t="shared" si="7"/>
        <v>1585.0194429747517</v>
      </c>
      <c r="K40" s="80">
        <f t="shared" si="7"/>
        <v>1592.9445401896255</v>
      </c>
      <c r="L40" s="80">
        <f t="shared" si="7"/>
        <v>1600.9092628905737</v>
      </c>
      <c r="M40" s="80">
        <f t="shared" si="7"/>
        <v>1608.9138092050262</v>
      </c>
      <c r="N40" s="80">
        <f t="shared" si="7"/>
        <v>1616.9583782510517</v>
      </c>
      <c r="O40" s="75">
        <f>SUM(C40:N40)</f>
        <v>9581.8792076152604</v>
      </c>
    </row>
    <row r="41" spans="2:15" x14ac:dyDescent="0.2">
      <c r="B41" s="7" t="s">
        <v>243</v>
      </c>
      <c r="C41" s="59">
        <f>MAX(0,Supuestos!$C$103-C40)</f>
        <v>150000</v>
      </c>
      <c r="D41" s="59">
        <f t="shared" ref="D41:N41" si="8">MAX(0,C41-D40)</f>
        <v>150000</v>
      </c>
      <c r="E41" s="59">
        <f t="shared" si="8"/>
        <v>150000</v>
      </c>
      <c r="F41" s="59">
        <f t="shared" si="8"/>
        <v>150000</v>
      </c>
      <c r="G41" s="59">
        <f t="shared" si="8"/>
        <v>150000</v>
      </c>
      <c r="H41" s="59">
        <f t="shared" si="8"/>
        <v>150000</v>
      </c>
      <c r="I41" s="59">
        <f t="shared" si="8"/>
        <v>148422.86622589576</v>
      </c>
      <c r="J41" s="59">
        <f t="shared" si="8"/>
        <v>146837.846782921</v>
      </c>
      <c r="K41" s="59">
        <f t="shared" si="8"/>
        <v>145244.90224273136</v>
      </c>
      <c r="L41" s="59">
        <f t="shared" si="8"/>
        <v>143643.99297984078</v>
      </c>
      <c r="M41" s="59">
        <f t="shared" si="8"/>
        <v>142035.07917063576</v>
      </c>
      <c r="N41" s="59">
        <f t="shared" si="8"/>
        <v>140418.1207923847</v>
      </c>
      <c r="O41" s="75">
        <f>N41</f>
        <v>140418.1207923847</v>
      </c>
    </row>
    <row r="42" spans="2:15" x14ac:dyDescent="0.2">
      <c r="B42" s="65" t="s">
        <v>244</v>
      </c>
      <c r="C42" s="76">
        <f t="shared" ref="C42:N42" si="9">C36-C38</f>
        <v>-4863.6872000000012</v>
      </c>
      <c r="D42" s="76">
        <f t="shared" si="9"/>
        <v>-6429.8454720000018</v>
      </c>
      <c r="E42" s="76">
        <f t="shared" si="9"/>
        <v>-5595.8496000000005</v>
      </c>
      <c r="F42" s="76">
        <f t="shared" si="9"/>
        <v>-5385.5204160000012</v>
      </c>
      <c r="G42" s="76">
        <f t="shared" si="9"/>
        <v>-2861.8995200000008</v>
      </c>
      <c r="H42" s="76">
        <f t="shared" si="9"/>
        <v>-2243.641152000002</v>
      </c>
      <c r="I42" s="76">
        <f t="shared" si="9"/>
        <v>-3139.9915661042314</v>
      </c>
      <c r="J42" s="76">
        <f t="shared" si="9"/>
        <v>-2693.083214104231</v>
      </c>
      <c r="K42" s="76">
        <f t="shared" si="9"/>
        <v>-2186.3540301042322</v>
      </c>
      <c r="L42" s="76">
        <f t="shared" si="9"/>
        <v>-2149.5381901042319</v>
      </c>
      <c r="M42" s="76">
        <f t="shared" si="9"/>
        <v>-2404.7956941042339</v>
      </c>
      <c r="N42" s="76">
        <f t="shared" si="9"/>
        <v>-2658.9715341042306</v>
      </c>
      <c r="O42" s="75">
        <f>SUM(C42:N42)</f>
        <v>-42613.177588625404</v>
      </c>
    </row>
    <row r="43" spans="2:15" x14ac:dyDescent="0.2">
      <c r="B43" s="81" t="s">
        <v>201</v>
      </c>
      <c r="C43" s="82">
        <f>Supuestos!$C$109+C42</f>
        <v>48936.3128</v>
      </c>
      <c r="D43" s="82">
        <f t="shared" ref="D43:N43" si="10">C43+D42</f>
        <v>42506.467327999999</v>
      </c>
      <c r="E43" s="82">
        <f t="shared" si="10"/>
        <v>36910.617727999997</v>
      </c>
      <c r="F43" s="82">
        <f t="shared" si="10"/>
        <v>31525.097311999998</v>
      </c>
      <c r="G43" s="82">
        <f t="shared" si="10"/>
        <v>28663.197791999999</v>
      </c>
      <c r="H43" s="82">
        <f t="shared" si="10"/>
        <v>26419.556639999995</v>
      </c>
      <c r="I43" s="82">
        <f t="shared" si="10"/>
        <v>23279.565073895763</v>
      </c>
      <c r="J43" s="82">
        <f t="shared" si="10"/>
        <v>20586.481859791533</v>
      </c>
      <c r="K43" s="82">
        <f t="shared" si="10"/>
        <v>18400.127829687299</v>
      </c>
      <c r="L43" s="82">
        <f t="shared" si="10"/>
        <v>16250.589639583068</v>
      </c>
      <c r="M43" s="82">
        <f t="shared" si="10"/>
        <v>13845.793945478834</v>
      </c>
      <c r="N43" s="82">
        <f t="shared" si="10"/>
        <v>11186.822411374604</v>
      </c>
      <c r="O43" s="82">
        <f>N43</f>
        <v>11186.822411374604</v>
      </c>
    </row>
    <row r="45" spans="2:15" ht="26" customHeight="1" x14ac:dyDescent="0.2">
      <c r="B45" s="155" t="str">
        <f>"Año 2   ·   "&amp;CHOOSE(MONTH(DATE(YEAR(Supuestos!$C$8),MONTH(Supuestos!$C$8)+(13)-1,1)),"ene","feb","mar","abr","may","jun","jul","ago","sep","oct","nov","dic")&amp;" "&amp;YEAR(DATE(YEAR(Supuestos!$C$8),MONTH(Supuestos!$C$8)+(13)-1,1))&amp;" – "&amp;CHOOSE(MONTH(DATE(YEAR(Supuestos!$C$8),MONTH(Supuestos!$C$8)+(24)-1,1)),"ene","feb","mar","abr","may","jun","jul","ago","sep","oct","nov","dic")&amp;" "&amp;YEAR(DATE(YEAR(Supuestos!$C$8),MONTH(Supuestos!$C$8)+(24)-1,1))</f>
        <v>Año 2   ·   sep 2028 – ago 2029</v>
      </c>
      <c r="C45" s="156"/>
      <c r="D45" s="156"/>
      <c r="E45" s="156"/>
      <c r="F45" s="156"/>
      <c r="G45" s="156"/>
      <c r="H45" s="156"/>
      <c r="I45" s="156"/>
      <c r="J45" s="156"/>
      <c r="K45" s="156"/>
      <c r="L45" s="156"/>
      <c r="M45" s="156"/>
      <c r="N45" s="156"/>
      <c r="O45" s="156"/>
    </row>
    <row r="46" spans="2:15" ht="22" customHeight="1" x14ac:dyDescent="0.2">
      <c r="B46" s="32" t="s">
        <v>217</v>
      </c>
      <c r="C46" s="4" t="str">
        <f>CHOOSE(MONTH(DATE(YEAR(Supuestos!$C$8),MONTH(Supuestos!$C$8)+(13)-1,1)),"ene","feb","mar","abr","may","jun","jul","ago","sep","oct","nov","dic")&amp;" "&amp;RIGHT(YEAR(DATE(YEAR(Supuestos!$C$8),MONTH(Supuestos!$C$8)+(13)-1,1)),2)</f>
        <v>sep 28</v>
      </c>
      <c r="D46" s="4" t="str">
        <f>CHOOSE(MONTH(DATE(YEAR(Supuestos!$C$8),MONTH(Supuestos!$C$8)+(14)-1,1)),"ene","feb","mar","abr","may","jun","jul","ago","sep","oct","nov","dic")&amp;" "&amp;RIGHT(YEAR(DATE(YEAR(Supuestos!$C$8),MONTH(Supuestos!$C$8)+(14)-1,1)),2)</f>
        <v>oct 28</v>
      </c>
      <c r="E46" s="4" t="str">
        <f>CHOOSE(MONTH(DATE(YEAR(Supuestos!$C$8),MONTH(Supuestos!$C$8)+(15)-1,1)),"ene","feb","mar","abr","may","jun","jul","ago","sep","oct","nov","dic")&amp;" "&amp;RIGHT(YEAR(DATE(YEAR(Supuestos!$C$8),MONTH(Supuestos!$C$8)+(15)-1,1)),2)</f>
        <v>nov 28</v>
      </c>
      <c r="F46" s="4" t="str">
        <f>CHOOSE(MONTH(DATE(YEAR(Supuestos!$C$8),MONTH(Supuestos!$C$8)+(16)-1,1)),"ene","feb","mar","abr","may","jun","jul","ago","sep","oct","nov","dic")&amp;" "&amp;RIGHT(YEAR(DATE(YEAR(Supuestos!$C$8),MONTH(Supuestos!$C$8)+(16)-1,1)),2)</f>
        <v>dic 28</v>
      </c>
      <c r="G46" s="4" t="str">
        <f>CHOOSE(MONTH(DATE(YEAR(Supuestos!$C$8),MONTH(Supuestos!$C$8)+(17)-1,1)),"ene","feb","mar","abr","may","jun","jul","ago","sep","oct","nov","dic")&amp;" "&amp;RIGHT(YEAR(DATE(YEAR(Supuestos!$C$8),MONTH(Supuestos!$C$8)+(17)-1,1)),2)</f>
        <v>ene 29</v>
      </c>
      <c r="H46" s="4" t="str">
        <f>CHOOSE(MONTH(DATE(YEAR(Supuestos!$C$8),MONTH(Supuestos!$C$8)+(18)-1,1)),"ene","feb","mar","abr","may","jun","jul","ago","sep","oct","nov","dic")&amp;" "&amp;RIGHT(YEAR(DATE(YEAR(Supuestos!$C$8),MONTH(Supuestos!$C$8)+(18)-1,1)),2)</f>
        <v>feb 29</v>
      </c>
      <c r="I46" s="4" t="str">
        <f>CHOOSE(MONTH(DATE(YEAR(Supuestos!$C$8),MONTH(Supuestos!$C$8)+(19)-1,1)),"ene","feb","mar","abr","may","jun","jul","ago","sep","oct","nov","dic")&amp;" "&amp;RIGHT(YEAR(DATE(YEAR(Supuestos!$C$8),MONTH(Supuestos!$C$8)+(19)-1,1)),2)</f>
        <v>mar 29</v>
      </c>
      <c r="J46" s="4" t="str">
        <f>CHOOSE(MONTH(DATE(YEAR(Supuestos!$C$8),MONTH(Supuestos!$C$8)+(20)-1,1)),"ene","feb","mar","abr","may","jun","jul","ago","sep","oct","nov","dic")&amp;" "&amp;RIGHT(YEAR(DATE(YEAR(Supuestos!$C$8),MONTH(Supuestos!$C$8)+(20)-1,1)),2)</f>
        <v>abr 29</v>
      </c>
      <c r="K46" s="4" t="str">
        <f>CHOOSE(MONTH(DATE(YEAR(Supuestos!$C$8),MONTH(Supuestos!$C$8)+(21)-1,1)),"ene","feb","mar","abr","may","jun","jul","ago","sep","oct","nov","dic")&amp;" "&amp;RIGHT(YEAR(DATE(YEAR(Supuestos!$C$8),MONTH(Supuestos!$C$8)+(21)-1,1)),2)</f>
        <v>may 29</v>
      </c>
      <c r="L46" s="4" t="str">
        <f>CHOOSE(MONTH(DATE(YEAR(Supuestos!$C$8),MONTH(Supuestos!$C$8)+(22)-1,1)),"ene","feb","mar","abr","may","jun","jul","ago","sep","oct","nov","dic")&amp;" "&amp;RIGHT(YEAR(DATE(YEAR(Supuestos!$C$8),MONTH(Supuestos!$C$8)+(22)-1,1)),2)</f>
        <v>jun 29</v>
      </c>
      <c r="M46" s="4" t="str">
        <f>CHOOSE(MONTH(DATE(YEAR(Supuestos!$C$8),MONTH(Supuestos!$C$8)+(23)-1,1)),"ene","feb","mar","abr","may","jun","jul","ago","sep","oct","nov","dic")&amp;" "&amp;RIGHT(YEAR(DATE(YEAR(Supuestos!$C$8),MONTH(Supuestos!$C$8)+(23)-1,1)),2)</f>
        <v>jul 29</v>
      </c>
      <c r="N46" s="4" t="str">
        <f>CHOOSE(MONTH(DATE(YEAR(Supuestos!$C$8),MONTH(Supuestos!$C$8)+(24)-1,1)),"ene","feb","mar","abr","may","jun","jul","ago","sep","oct","nov","dic")&amp;" "&amp;RIGHT(YEAR(DATE(YEAR(Supuestos!$C$8),MONTH(Supuestos!$C$8)+(24)-1,1)),2)</f>
        <v>ago 29</v>
      </c>
      <c r="O46" s="4" t="s">
        <v>245</v>
      </c>
    </row>
    <row r="47" spans="2:15" x14ac:dyDescent="0.2">
      <c r="B47" s="69" t="s">
        <v>219</v>
      </c>
      <c r="C47" s="70">
        <v>13</v>
      </c>
      <c r="D47" s="70">
        <v>14</v>
      </c>
      <c r="E47" s="70">
        <v>15</v>
      </c>
      <c r="F47" s="70">
        <v>16</v>
      </c>
      <c r="G47" s="70">
        <v>17</v>
      </c>
      <c r="H47" s="70">
        <v>18</v>
      </c>
      <c r="I47" s="70">
        <v>19</v>
      </c>
      <c r="J47" s="70">
        <v>20</v>
      </c>
      <c r="K47" s="70">
        <v>21</v>
      </c>
      <c r="L47" s="70">
        <v>22</v>
      </c>
      <c r="M47" s="70">
        <v>23</v>
      </c>
      <c r="N47" s="70">
        <v>24</v>
      </c>
    </row>
    <row r="48" spans="2:15" ht="18" customHeight="1" x14ac:dyDescent="0.2">
      <c r="B48" s="71" t="s">
        <v>220</v>
      </c>
    </row>
    <row r="49" spans="2:15" x14ac:dyDescent="0.2">
      <c r="B49" s="7" t="s">
        <v>221</v>
      </c>
      <c r="C49" s="72">
        <f>N14</f>
        <v>430</v>
      </c>
      <c r="D49" s="72">
        <f t="shared" ref="D49:N49" si="11">C52</f>
        <v>483</v>
      </c>
      <c r="E49" s="72">
        <f t="shared" si="11"/>
        <v>515</v>
      </c>
      <c r="F49" s="72">
        <f t="shared" si="11"/>
        <v>531</v>
      </c>
      <c r="G49" s="72">
        <f t="shared" si="11"/>
        <v>533</v>
      </c>
      <c r="H49" s="72">
        <f t="shared" si="11"/>
        <v>568</v>
      </c>
      <c r="I49" s="72">
        <f t="shared" si="11"/>
        <v>582</v>
      </c>
      <c r="J49" s="72">
        <f t="shared" si="11"/>
        <v>592</v>
      </c>
      <c r="K49" s="72">
        <f t="shared" si="11"/>
        <v>596</v>
      </c>
      <c r="L49" s="72">
        <f t="shared" si="11"/>
        <v>600</v>
      </c>
      <c r="M49" s="72">
        <f t="shared" si="11"/>
        <v>596</v>
      </c>
      <c r="N49" s="72">
        <f t="shared" si="11"/>
        <v>586</v>
      </c>
      <c r="O49" s="73">
        <f>C49</f>
        <v>430</v>
      </c>
    </row>
    <row r="50" spans="2:15" x14ac:dyDescent="0.2">
      <c r="B50" s="7" t="s">
        <v>222</v>
      </c>
      <c r="C50" s="72">
        <f>MAX(0,MIN(ROUND(Supuestos!$F$12*IF(C$47&lt;=12,INDEX(Supuestos!$C$55:$C$66,C$47)+IF(C$47=1,Supuestos!$C$52,0),IF(C$47&lt;=24,Supuestos!$C$69,Supuestos!$C$70)*IFERROR(INDEX(Supuestos!$C$55:$C$66,MOD(C$47-1,12)+1)/AVERAGE(Supuestos!$C$55:$C$66),1)),0),IF(Supuestos!$C$72&gt;0,Supuestos!$C$72-C49+C51,ROUND(Supuestos!$F$12*IF(C$47&lt;=12,INDEX(Supuestos!$C$55:$C$66,C$47)+IF(C$47=1,Supuestos!$C$52,0),IF(C$47&lt;=24,Supuestos!$C$69,Supuestos!$C$70)*IFERROR(INDEX(Supuestos!$C$55:$C$66,MOD(C$47-1,12)+1)/AVERAGE(Supuestos!$C$55:$C$66),1)),0))))</f>
        <v>70</v>
      </c>
      <c r="D50" s="72">
        <f>MAX(0,MIN(ROUND(Supuestos!$F$12*IF(D$47&lt;=12,INDEX(Supuestos!$C$55:$C$66,D$47)+IF(D$47=1,Supuestos!$C$52,0),IF(D$47&lt;=24,Supuestos!$C$69,Supuestos!$C$70)*IFERROR(INDEX(Supuestos!$C$55:$C$66,MOD(D$47-1,12)+1)/AVERAGE(Supuestos!$C$55:$C$66),1)),0),IF(Supuestos!$C$72&gt;0,Supuestos!$C$72-D49+D51,ROUND(Supuestos!$F$12*IF(D$47&lt;=12,INDEX(Supuestos!$C$55:$C$66,D$47)+IF(D$47=1,Supuestos!$C$52,0),IF(D$47&lt;=24,Supuestos!$C$69,Supuestos!$C$70)*IFERROR(INDEX(Supuestos!$C$55:$C$66,MOD(D$47-1,12)+1)/AVERAGE(Supuestos!$C$55:$C$66),1)),0))))</f>
        <v>51</v>
      </c>
      <c r="E50" s="72">
        <f>MAX(0,MIN(ROUND(Supuestos!$F$12*IF(E$47&lt;=12,INDEX(Supuestos!$C$55:$C$66,E$47)+IF(E$47=1,Supuestos!$C$52,0),IF(E$47&lt;=24,Supuestos!$C$69,Supuestos!$C$70)*IFERROR(INDEX(Supuestos!$C$55:$C$66,MOD(E$47-1,12)+1)/AVERAGE(Supuestos!$C$55:$C$66),1)),0),IF(Supuestos!$C$72&gt;0,Supuestos!$C$72-E49+E51,ROUND(Supuestos!$F$12*IF(E$47&lt;=12,INDEX(Supuestos!$C$55:$C$66,E$47)+IF(E$47=1,Supuestos!$C$52,0),IF(E$47&lt;=24,Supuestos!$C$69,Supuestos!$C$70)*IFERROR(INDEX(Supuestos!$C$55:$C$66,MOD(E$47-1,12)+1)/AVERAGE(Supuestos!$C$55:$C$66),1)),0))))</f>
        <v>37</v>
      </c>
      <c r="F50" s="72">
        <f>MAX(0,MIN(ROUND(Supuestos!$F$12*IF(F$47&lt;=12,INDEX(Supuestos!$C$55:$C$66,F$47)+IF(F$47=1,Supuestos!$C$52,0),IF(F$47&lt;=24,Supuestos!$C$69,Supuestos!$C$70)*IFERROR(INDEX(Supuestos!$C$55:$C$66,MOD(F$47-1,12)+1)/AVERAGE(Supuestos!$C$55:$C$66),1)),0),IF(Supuestos!$C$72&gt;0,Supuestos!$C$72-F49+F51,ROUND(Supuestos!$F$12*IF(F$47&lt;=12,INDEX(Supuestos!$C$55:$C$66,F$47)+IF(F$47=1,Supuestos!$C$52,0),IF(F$47&lt;=24,Supuestos!$C$69,Supuestos!$C$70)*IFERROR(INDEX(Supuestos!$C$55:$C$66,MOD(F$47-1,12)+1)/AVERAGE(Supuestos!$C$55:$C$66),1)),0))))</f>
        <v>23</v>
      </c>
      <c r="G50" s="72">
        <f>MAX(0,MIN(ROUND(Supuestos!$F$12*IF(G$47&lt;=12,INDEX(Supuestos!$C$55:$C$66,G$47)+IF(G$47=1,Supuestos!$C$52,0),IF(G$47&lt;=24,Supuestos!$C$69,Supuestos!$C$70)*IFERROR(INDEX(Supuestos!$C$55:$C$66,MOD(G$47-1,12)+1)/AVERAGE(Supuestos!$C$55:$C$66),1)),0),IF(Supuestos!$C$72&gt;0,Supuestos!$C$72-G49+G51,ROUND(Supuestos!$F$12*IF(G$47&lt;=12,INDEX(Supuestos!$C$55:$C$66,G$47)+IF(G$47=1,Supuestos!$C$52,0),IF(G$47&lt;=24,Supuestos!$C$69,Supuestos!$C$70)*IFERROR(INDEX(Supuestos!$C$55:$C$66,MOD(G$47-1,12)+1)/AVERAGE(Supuestos!$C$55:$C$66),1)),0))))</f>
        <v>56</v>
      </c>
      <c r="H50" s="72">
        <f>MAX(0,MIN(ROUND(Supuestos!$F$12*IF(H$47&lt;=12,INDEX(Supuestos!$C$55:$C$66,H$47)+IF(H$47=1,Supuestos!$C$52,0),IF(H$47&lt;=24,Supuestos!$C$69,Supuestos!$C$70)*IFERROR(INDEX(Supuestos!$C$55:$C$66,MOD(H$47-1,12)+1)/AVERAGE(Supuestos!$C$55:$C$66),1)),0),IF(Supuestos!$C$72&gt;0,Supuestos!$C$72-H49+H51,ROUND(Supuestos!$F$12*IF(H$47&lt;=12,INDEX(Supuestos!$C$55:$C$66,H$47)+IF(H$47=1,Supuestos!$C$52,0),IF(H$47&lt;=24,Supuestos!$C$69,Supuestos!$C$70)*IFERROR(INDEX(Supuestos!$C$55:$C$66,MOD(H$47-1,12)+1)/AVERAGE(Supuestos!$C$55:$C$66),1)),0))))</f>
        <v>37</v>
      </c>
      <c r="I50" s="72">
        <f>MAX(0,MIN(ROUND(Supuestos!$F$12*IF(I$47&lt;=12,INDEX(Supuestos!$C$55:$C$66,I$47)+IF(I$47=1,Supuestos!$C$52,0),IF(I$47&lt;=24,Supuestos!$C$69,Supuestos!$C$70)*IFERROR(INDEX(Supuestos!$C$55:$C$66,MOD(I$47-1,12)+1)/AVERAGE(Supuestos!$C$55:$C$66),1)),0),IF(Supuestos!$C$72&gt;0,Supuestos!$C$72-I49+I51,ROUND(Supuestos!$F$12*IF(I$47&lt;=12,INDEX(Supuestos!$C$55:$C$66,I$47)+IF(I$47=1,Supuestos!$C$52,0),IF(I$47&lt;=24,Supuestos!$C$69,Supuestos!$C$70)*IFERROR(INDEX(Supuestos!$C$55:$C$66,MOD(I$47-1,12)+1)/AVERAGE(Supuestos!$C$55:$C$66),1)),0))))</f>
        <v>33</v>
      </c>
      <c r="J50" s="72">
        <f>MAX(0,MIN(ROUND(Supuestos!$F$12*IF(J$47&lt;=12,INDEX(Supuestos!$C$55:$C$66,J$47)+IF(J$47=1,Supuestos!$C$52,0),IF(J$47&lt;=24,Supuestos!$C$69,Supuestos!$C$70)*IFERROR(INDEX(Supuestos!$C$55:$C$66,MOD(J$47-1,12)+1)/AVERAGE(Supuestos!$C$55:$C$66),1)),0),IF(Supuestos!$C$72&gt;0,Supuestos!$C$72-J49+J51,ROUND(Supuestos!$F$12*IF(J$47&lt;=12,INDEX(Supuestos!$C$55:$C$66,J$47)+IF(J$47=1,Supuestos!$C$52,0),IF(J$47&lt;=24,Supuestos!$C$69,Supuestos!$C$70)*IFERROR(INDEX(Supuestos!$C$55:$C$66,MOD(J$47-1,12)+1)/AVERAGE(Supuestos!$C$55:$C$66),1)),0))))</f>
        <v>28</v>
      </c>
      <c r="K50" s="72">
        <f>MAX(0,MIN(ROUND(Supuestos!$F$12*IF(K$47&lt;=12,INDEX(Supuestos!$C$55:$C$66,K$47)+IF(K$47=1,Supuestos!$C$52,0),IF(K$47&lt;=24,Supuestos!$C$69,Supuestos!$C$70)*IFERROR(INDEX(Supuestos!$C$55:$C$66,MOD(K$47-1,12)+1)/AVERAGE(Supuestos!$C$55:$C$66),1)),0),IF(Supuestos!$C$72&gt;0,Supuestos!$C$72-K49+K51,ROUND(Supuestos!$F$12*IF(K$47&lt;=12,INDEX(Supuestos!$C$55:$C$66,K$47)+IF(K$47=1,Supuestos!$C$52,0),IF(K$47&lt;=24,Supuestos!$C$69,Supuestos!$C$70)*IFERROR(INDEX(Supuestos!$C$55:$C$66,MOD(K$47-1,12)+1)/AVERAGE(Supuestos!$C$55:$C$66),1)),0))))</f>
        <v>28</v>
      </c>
      <c r="L50" s="72">
        <f>MAX(0,MIN(ROUND(Supuestos!$F$12*IF(L$47&lt;=12,INDEX(Supuestos!$C$55:$C$66,L$47)+IF(L$47=1,Supuestos!$C$52,0),IF(L$47&lt;=24,Supuestos!$C$69,Supuestos!$C$70)*IFERROR(INDEX(Supuestos!$C$55:$C$66,MOD(L$47-1,12)+1)/AVERAGE(Supuestos!$C$55:$C$66),1)),0),IF(Supuestos!$C$72&gt;0,Supuestos!$C$72-L49+L51,ROUND(Supuestos!$F$12*IF(L$47&lt;=12,INDEX(Supuestos!$C$55:$C$66,L$47)+IF(L$47=1,Supuestos!$C$52,0),IF(L$47&lt;=24,Supuestos!$C$69,Supuestos!$C$70)*IFERROR(INDEX(Supuestos!$C$55:$C$66,MOD(L$47-1,12)+1)/AVERAGE(Supuestos!$C$55:$C$66),1)),0))))</f>
        <v>20</v>
      </c>
      <c r="M50" s="72">
        <f>MAX(0,MIN(ROUND(Supuestos!$F$12*IF(M$47&lt;=12,INDEX(Supuestos!$C$55:$C$66,M$47)+IF(M$47=1,Supuestos!$C$52,0),IF(M$47&lt;=24,Supuestos!$C$69,Supuestos!$C$70)*IFERROR(INDEX(Supuestos!$C$55:$C$66,MOD(M$47-1,12)+1)/AVERAGE(Supuestos!$C$55:$C$66),1)),0),IF(Supuestos!$C$72&gt;0,Supuestos!$C$72-M49+M51,ROUND(Supuestos!$F$12*IF(M$47&lt;=12,INDEX(Supuestos!$C$55:$C$66,M$47)+IF(M$47=1,Supuestos!$C$52,0),IF(M$47&lt;=24,Supuestos!$C$69,Supuestos!$C$70)*IFERROR(INDEX(Supuestos!$C$55:$C$66,MOD(M$47-1,12)+1)/AVERAGE(Supuestos!$C$55:$C$66),1)),0))))</f>
        <v>14</v>
      </c>
      <c r="N50" s="72">
        <f>MAX(0,MIN(ROUND(Supuestos!$F$12*IF(N$47&lt;=12,INDEX(Supuestos!$C$55:$C$66,N$47)+IF(N$47=1,Supuestos!$C$52,0),IF(N$47&lt;=24,Supuestos!$C$69,Supuestos!$C$70)*IFERROR(INDEX(Supuestos!$C$55:$C$66,MOD(N$47-1,12)+1)/AVERAGE(Supuestos!$C$55:$C$66),1)),0),IF(Supuestos!$C$72&gt;0,Supuestos!$C$72-N49+N51,ROUND(Supuestos!$F$12*IF(N$47&lt;=12,INDEX(Supuestos!$C$55:$C$66,N$47)+IF(N$47=1,Supuestos!$C$52,0),IF(N$47&lt;=24,Supuestos!$C$69,Supuestos!$C$70)*IFERROR(INDEX(Supuestos!$C$55:$C$66,MOD(N$47-1,12)+1)/AVERAGE(Supuestos!$C$55:$C$66),1)),0))))</f>
        <v>11</v>
      </c>
      <c r="O50" s="73">
        <f>SUM(C50:N50)</f>
        <v>408</v>
      </c>
    </row>
    <row r="51" spans="2:15" x14ac:dyDescent="0.2">
      <c r="B51" s="7" t="s">
        <v>223</v>
      </c>
      <c r="C51" s="72">
        <f>MIN(C49,ROUND(C49*Supuestos!$C$71*Supuestos!$F$13,0))</f>
        <v>17</v>
      </c>
      <c r="D51" s="72">
        <f>MIN(D49,ROUND(D49*Supuestos!$C$71*Supuestos!$F$13,0))</f>
        <v>19</v>
      </c>
      <c r="E51" s="72">
        <f>MIN(E49,ROUND(E49*Supuestos!$C$71*Supuestos!$F$13,0))</f>
        <v>21</v>
      </c>
      <c r="F51" s="72">
        <f>MIN(F49,ROUND(F49*Supuestos!$C$71*Supuestos!$F$13,0))</f>
        <v>21</v>
      </c>
      <c r="G51" s="72">
        <f>MIN(G49,ROUND(G49*Supuestos!$C$71*Supuestos!$F$13,0))</f>
        <v>21</v>
      </c>
      <c r="H51" s="72">
        <f>MIN(H49,ROUND(H49*Supuestos!$C$71*Supuestos!$F$13,0))</f>
        <v>23</v>
      </c>
      <c r="I51" s="72">
        <f>MIN(I49,ROUND(I49*Supuestos!$C$71*Supuestos!$F$13,0))</f>
        <v>23</v>
      </c>
      <c r="J51" s="72">
        <f>MIN(J49,ROUND(J49*Supuestos!$C$71*Supuestos!$F$13,0))</f>
        <v>24</v>
      </c>
      <c r="K51" s="72">
        <f>MIN(K49,ROUND(K49*Supuestos!$C$71*Supuestos!$F$13,0))</f>
        <v>24</v>
      </c>
      <c r="L51" s="72">
        <f>MIN(L49,ROUND(L49*Supuestos!$C$71*Supuestos!$F$13,0))</f>
        <v>24</v>
      </c>
      <c r="M51" s="72">
        <f>MIN(M49,ROUND(M49*Supuestos!$C$71*Supuestos!$F$13,0))</f>
        <v>24</v>
      </c>
      <c r="N51" s="72">
        <f>MIN(N49,ROUND(N49*Supuestos!$C$71*Supuestos!$F$13,0))</f>
        <v>23</v>
      </c>
      <c r="O51" s="73">
        <f>SUM(C51:N51)</f>
        <v>264</v>
      </c>
    </row>
    <row r="52" spans="2:15" x14ac:dyDescent="0.2">
      <c r="B52" s="65" t="s">
        <v>224</v>
      </c>
      <c r="C52" s="74">
        <f t="shared" ref="C52:N52" si="12">C49+C50-C51</f>
        <v>483</v>
      </c>
      <c r="D52" s="74">
        <f t="shared" si="12"/>
        <v>515</v>
      </c>
      <c r="E52" s="74">
        <f t="shared" si="12"/>
        <v>531</v>
      </c>
      <c r="F52" s="74">
        <f t="shared" si="12"/>
        <v>533</v>
      </c>
      <c r="G52" s="74">
        <f t="shared" si="12"/>
        <v>568</v>
      </c>
      <c r="H52" s="74">
        <f t="shared" si="12"/>
        <v>582</v>
      </c>
      <c r="I52" s="74">
        <f t="shared" si="12"/>
        <v>592</v>
      </c>
      <c r="J52" s="74">
        <f t="shared" si="12"/>
        <v>596</v>
      </c>
      <c r="K52" s="74">
        <f t="shared" si="12"/>
        <v>600</v>
      </c>
      <c r="L52" s="74">
        <f t="shared" si="12"/>
        <v>596</v>
      </c>
      <c r="M52" s="74">
        <f t="shared" si="12"/>
        <v>586</v>
      </c>
      <c r="N52" s="74">
        <f t="shared" si="12"/>
        <v>574</v>
      </c>
      <c r="O52" s="73">
        <f>N52</f>
        <v>574</v>
      </c>
    </row>
    <row r="53" spans="2:15" ht="18" customHeight="1" x14ac:dyDescent="0.2">
      <c r="B53" s="71" t="s">
        <v>225</v>
      </c>
    </row>
    <row r="54" spans="2:15" x14ac:dyDescent="0.2">
      <c r="B54" s="7" t="s">
        <v>226</v>
      </c>
      <c r="C54" s="59">
        <f>C52*Supuestos!$C$45*Supuestos!$F$14*(1+Supuestos!$C$112)^INT((C$47-1)/12)</f>
        <v>18187.075199999996</v>
      </c>
      <c r="D54" s="59">
        <f>D52*Supuestos!$C$45*Supuestos!$F$14*(1+Supuestos!$C$112)^INT((D$47-1)/12)</f>
        <v>19392.015999999996</v>
      </c>
      <c r="E54" s="59">
        <f>E52*Supuestos!$C$45*Supuestos!$F$14*(1+Supuestos!$C$112)^INT((E$47-1)/12)</f>
        <v>19994.486399999998</v>
      </c>
      <c r="F54" s="59">
        <f>F52*Supuestos!$C$45*Supuestos!$F$14*(1+Supuestos!$C$112)^INT((F$47-1)/12)</f>
        <v>20069.795199999993</v>
      </c>
      <c r="G54" s="59">
        <f>G52*Supuestos!$C$45*Supuestos!$F$14*(1+Supuestos!$C$112)^INT((G$47-1)/12)</f>
        <v>21387.699199999995</v>
      </c>
      <c r="H54" s="59">
        <f>H52*Supuestos!$C$45*Supuestos!$F$14*(1+Supuestos!$C$112)^INT((H$47-1)/12)</f>
        <v>21914.860799999999</v>
      </c>
      <c r="I54" s="59">
        <f>I52*Supuestos!$C$45*Supuestos!$F$14*(1+Supuestos!$C$112)^INT((I$47-1)/12)</f>
        <v>22291.404799999997</v>
      </c>
      <c r="J54" s="59">
        <f>J52*Supuestos!$C$45*Supuestos!$F$14*(1+Supuestos!$C$112)^INT((J$47-1)/12)</f>
        <v>22442.022399999998</v>
      </c>
      <c r="K54" s="59">
        <f>K52*Supuestos!$C$45*Supuestos!$F$14*(1+Supuestos!$C$112)^INT((K$47-1)/12)</f>
        <v>22592.639999999996</v>
      </c>
      <c r="L54" s="59">
        <f>L52*Supuestos!$C$45*Supuestos!$F$14*(1+Supuestos!$C$112)^INT((L$47-1)/12)</f>
        <v>22442.022399999998</v>
      </c>
      <c r="M54" s="59">
        <f>M52*Supuestos!$C$45*Supuestos!$F$14*(1+Supuestos!$C$112)^INT((M$47-1)/12)</f>
        <v>22065.478399999996</v>
      </c>
      <c r="N54" s="59">
        <f>N52*Supuestos!$C$45*Supuestos!$F$14*(1+Supuestos!$C$112)^INT((N$47-1)/12)</f>
        <v>21613.625599999999</v>
      </c>
      <c r="O54" s="75">
        <f>SUM(C54:N54)</f>
        <v>254393.12639999992</v>
      </c>
    </row>
    <row r="55" spans="2:15" x14ac:dyDescent="0.2">
      <c r="B55" s="7" t="s">
        <v>227</v>
      </c>
      <c r="C55" s="59">
        <f>C50*Supuestos!$C$47*(1+Supuestos!$C$112)^INT((C$47-1)/12)</f>
        <v>1434.9999999999998</v>
      </c>
      <c r="D55" s="59">
        <f>D50*Supuestos!$C$47*(1+Supuestos!$C$112)^INT((D$47-1)/12)</f>
        <v>1045.5</v>
      </c>
      <c r="E55" s="59">
        <f>E50*Supuestos!$C$47*(1+Supuestos!$C$112)^INT((E$47-1)/12)</f>
        <v>758.49999999999989</v>
      </c>
      <c r="F55" s="59">
        <f>F50*Supuestos!$C$47*(1+Supuestos!$C$112)^INT((F$47-1)/12)</f>
        <v>471.49999999999994</v>
      </c>
      <c r="G55" s="59">
        <f>G50*Supuestos!$C$47*(1+Supuestos!$C$112)^INT((G$47-1)/12)</f>
        <v>1148</v>
      </c>
      <c r="H55" s="59">
        <f>H50*Supuestos!$C$47*(1+Supuestos!$C$112)^INT((H$47-1)/12)</f>
        <v>758.49999999999989</v>
      </c>
      <c r="I55" s="59">
        <f>I50*Supuestos!$C$47*(1+Supuestos!$C$112)^INT((I$47-1)/12)</f>
        <v>676.49999999999989</v>
      </c>
      <c r="J55" s="59">
        <f>J50*Supuestos!$C$47*(1+Supuestos!$C$112)^INT((J$47-1)/12)</f>
        <v>574</v>
      </c>
      <c r="K55" s="59">
        <f>K50*Supuestos!$C$47*(1+Supuestos!$C$112)^INT((K$47-1)/12)</f>
        <v>574</v>
      </c>
      <c r="L55" s="59">
        <f>L50*Supuestos!$C$47*(1+Supuestos!$C$112)^INT((L$47-1)/12)</f>
        <v>409.99999999999994</v>
      </c>
      <c r="M55" s="59">
        <f>M50*Supuestos!$C$47*(1+Supuestos!$C$112)^INT((M$47-1)/12)</f>
        <v>287</v>
      </c>
      <c r="N55" s="59">
        <f>N50*Supuestos!$C$47*(1+Supuestos!$C$112)^INT((N$47-1)/12)</f>
        <v>225.49999999999997</v>
      </c>
      <c r="O55" s="75">
        <f>SUM(C55:N55)</f>
        <v>8364</v>
      </c>
    </row>
    <row r="56" spans="2:15" x14ac:dyDescent="0.2">
      <c r="B56" s="7" t="s">
        <v>228</v>
      </c>
      <c r="C56" s="59">
        <f>C52*(Supuestos!$C$48+Supuestos!$C$49)*(1+Supuestos!$C$112)^INT((C$47-1)/12)</f>
        <v>2722.9124999999999</v>
      </c>
      <c r="D56" s="59">
        <f>D52*(Supuestos!$C$48+Supuestos!$C$49)*(1+Supuestos!$C$112)^INT((D$47-1)/12)</f>
        <v>2903.3124999999995</v>
      </c>
      <c r="E56" s="59">
        <f>E52*(Supuestos!$C$48+Supuestos!$C$49)*(1+Supuestos!$C$112)^INT((E$47-1)/12)</f>
        <v>2993.5124999999998</v>
      </c>
      <c r="F56" s="59">
        <f>F52*(Supuestos!$C$48+Supuestos!$C$49)*(1+Supuestos!$C$112)^INT((F$47-1)/12)</f>
        <v>3004.7874999999999</v>
      </c>
      <c r="G56" s="59">
        <f>G52*(Supuestos!$C$48+Supuestos!$C$49)*(1+Supuestos!$C$112)^INT((G$47-1)/12)</f>
        <v>3202.1</v>
      </c>
      <c r="H56" s="59">
        <f>H52*(Supuestos!$C$48+Supuestos!$C$49)*(1+Supuestos!$C$112)^INT((H$47-1)/12)</f>
        <v>3281.0249999999996</v>
      </c>
      <c r="I56" s="59">
        <f>I52*(Supuestos!$C$48+Supuestos!$C$49)*(1+Supuestos!$C$112)^INT((I$47-1)/12)</f>
        <v>3337.3999999999996</v>
      </c>
      <c r="J56" s="59">
        <f>J52*(Supuestos!$C$48+Supuestos!$C$49)*(1+Supuestos!$C$112)^INT((J$47-1)/12)</f>
        <v>3359.95</v>
      </c>
      <c r="K56" s="59">
        <f>K52*(Supuestos!$C$48+Supuestos!$C$49)*(1+Supuestos!$C$112)^INT((K$47-1)/12)</f>
        <v>3382.4999999999995</v>
      </c>
      <c r="L56" s="59">
        <f>L52*(Supuestos!$C$48+Supuestos!$C$49)*(1+Supuestos!$C$112)^INT((L$47-1)/12)</f>
        <v>3359.95</v>
      </c>
      <c r="M56" s="59">
        <f>M52*(Supuestos!$C$48+Supuestos!$C$49)*(1+Supuestos!$C$112)^INT((M$47-1)/12)</f>
        <v>3303.5749999999998</v>
      </c>
      <c r="N56" s="59">
        <f>N52*(Supuestos!$C$48+Supuestos!$C$49)*(1+Supuestos!$C$112)^INT((N$47-1)/12)</f>
        <v>3235.9249999999997</v>
      </c>
      <c r="O56" s="75">
        <f>SUM(C56:N56)</f>
        <v>38086.950000000004</v>
      </c>
    </row>
    <row r="57" spans="2:15" x14ac:dyDescent="0.2">
      <c r="B57" s="65" t="s">
        <v>229</v>
      </c>
      <c r="C57" s="76">
        <f t="shared" ref="C57:N57" si="13">SUM(C54:C56)</f>
        <v>22344.987699999994</v>
      </c>
      <c r="D57" s="76">
        <f t="shared" si="13"/>
        <v>23340.828499999996</v>
      </c>
      <c r="E57" s="76">
        <f t="shared" si="13"/>
        <v>23746.498899999999</v>
      </c>
      <c r="F57" s="76">
        <f t="shared" si="13"/>
        <v>23546.082699999992</v>
      </c>
      <c r="G57" s="76">
        <f t="shared" si="13"/>
        <v>25737.799199999994</v>
      </c>
      <c r="H57" s="76">
        <f t="shared" si="13"/>
        <v>25954.385799999996</v>
      </c>
      <c r="I57" s="76">
        <f t="shared" si="13"/>
        <v>26305.304799999998</v>
      </c>
      <c r="J57" s="76">
        <f t="shared" si="13"/>
        <v>26375.972399999999</v>
      </c>
      <c r="K57" s="76">
        <f t="shared" si="13"/>
        <v>26549.139999999996</v>
      </c>
      <c r="L57" s="76">
        <f t="shared" si="13"/>
        <v>26211.972399999999</v>
      </c>
      <c r="M57" s="76">
        <f t="shared" si="13"/>
        <v>25656.053399999997</v>
      </c>
      <c r="N57" s="76">
        <f t="shared" si="13"/>
        <v>25075.050599999999</v>
      </c>
      <c r="O57" s="75">
        <f>SUM(C57:N57)</f>
        <v>300844.07639999996</v>
      </c>
    </row>
    <row r="58" spans="2:15" ht="18" customHeight="1" x14ac:dyDescent="0.2">
      <c r="B58" s="71" t="s">
        <v>230</v>
      </c>
    </row>
    <row r="59" spans="2:15" x14ac:dyDescent="0.2">
      <c r="B59" s="7" t="s">
        <v>231</v>
      </c>
      <c r="C59" s="59">
        <f>Supuestos!$G$83*(1+Supuestos!$C$113)^INT((C$47-1)/12)</f>
        <v>9064</v>
      </c>
      <c r="D59" s="59">
        <f>Supuestos!$G$83*(1+Supuestos!$C$113)^INT((D$47-1)/12)</f>
        <v>9064</v>
      </c>
      <c r="E59" s="59">
        <f>Supuestos!$G$83*(1+Supuestos!$C$113)^INT((E$47-1)/12)</f>
        <v>9064</v>
      </c>
      <c r="F59" s="59">
        <f>Supuestos!$G$83*(1+Supuestos!$C$113)^INT((F$47-1)/12)</f>
        <v>9064</v>
      </c>
      <c r="G59" s="59">
        <f>Supuestos!$G$83*(1+Supuestos!$C$113)^INT((G$47-1)/12)</f>
        <v>9064</v>
      </c>
      <c r="H59" s="59">
        <f>Supuestos!$G$83*(1+Supuestos!$C$113)^INT((H$47-1)/12)</f>
        <v>9064</v>
      </c>
      <c r="I59" s="59">
        <f>Supuestos!$G$83*(1+Supuestos!$C$113)^INT((I$47-1)/12)</f>
        <v>9064</v>
      </c>
      <c r="J59" s="59">
        <f>Supuestos!$G$83*(1+Supuestos!$C$113)^INT((J$47-1)/12)</f>
        <v>9064</v>
      </c>
      <c r="K59" s="59">
        <f>Supuestos!$G$83*(1+Supuestos!$C$113)^INT((K$47-1)/12)</f>
        <v>9064</v>
      </c>
      <c r="L59" s="59">
        <f>Supuestos!$G$83*(1+Supuestos!$C$113)^INT((L$47-1)/12)</f>
        <v>9064</v>
      </c>
      <c r="M59" s="59">
        <f>Supuestos!$G$83*(1+Supuestos!$C$113)^INT((M$47-1)/12)</f>
        <v>9064</v>
      </c>
      <c r="N59" s="59">
        <f>Supuestos!$G$83*(1+Supuestos!$C$113)^INT((N$47-1)/12)</f>
        <v>9064</v>
      </c>
      <c r="O59" s="75">
        <f t="shared" ref="O59:O69" si="14">SUM(C59:N59)</f>
        <v>108768</v>
      </c>
    </row>
    <row r="60" spans="2:15" x14ac:dyDescent="0.2">
      <c r="B60" s="7" t="s">
        <v>147</v>
      </c>
      <c r="C60" s="59">
        <f>Supuestos!$C$86*(1+Supuestos!$C$113)^INT((C$47-1)/12)</f>
        <v>3708</v>
      </c>
      <c r="D60" s="59">
        <f>Supuestos!$C$86*(1+Supuestos!$C$113)^INT((D$47-1)/12)</f>
        <v>3708</v>
      </c>
      <c r="E60" s="59">
        <f>Supuestos!$C$86*(1+Supuestos!$C$113)^INT((E$47-1)/12)</f>
        <v>3708</v>
      </c>
      <c r="F60" s="59">
        <f>Supuestos!$C$86*(1+Supuestos!$C$113)^INT((F$47-1)/12)</f>
        <v>3708</v>
      </c>
      <c r="G60" s="59">
        <f>Supuestos!$C$86*(1+Supuestos!$C$113)^INT((G$47-1)/12)</f>
        <v>3708</v>
      </c>
      <c r="H60" s="59">
        <f>Supuestos!$C$86*(1+Supuestos!$C$113)^INT((H$47-1)/12)</f>
        <v>3708</v>
      </c>
      <c r="I60" s="59">
        <f>Supuestos!$C$86*(1+Supuestos!$C$113)^INT((I$47-1)/12)</f>
        <v>3708</v>
      </c>
      <c r="J60" s="59">
        <f>Supuestos!$C$86*(1+Supuestos!$C$113)^INT((J$47-1)/12)</f>
        <v>3708</v>
      </c>
      <c r="K60" s="59">
        <f>Supuestos!$C$86*(1+Supuestos!$C$113)^INT((K$47-1)/12)</f>
        <v>3708</v>
      </c>
      <c r="L60" s="59">
        <f>Supuestos!$C$86*(1+Supuestos!$C$113)^INT((L$47-1)/12)</f>
        <v>3708</v>
      </c>
      <c r="M60" s="59">
        <f>Supuestos!$C$86*(1+Supuestos!$C$113)^INT((M$47-1)/12)</f>
        <v>3708</v>
      </c>
      <c r="N60" s="59">
        <f>Supuestos!$C$86*(1+Supuestos!$C$113)^INT((N$47-1)/12)</f>
        <v>3708</v>
      </c>
      <c r="O60" s="75">
        <f t="shared" si="14"/>
        <v>44496</v>
      </c>
    </row>
    <row r="61" spans="2:15" x14ac:dyDescent="0.2">
      <c r="B61" s="7" t="s">
        <v>232</v>
      </c>
      <c r="C61" s="59">
        <f>Supuestos!$C$87*(1+Supuestos!$C$113)^INT((C$47-1)/12)</f>
        <v>1545</v>
      </c>
      <c r="D61" s="59">
        <f>Supuestos!$C$87*(1+Supuestos!$C$113)^INT((D$47-1)/12)</f>
        <v>1545</v>
      </c>
      <c r="E61" s="59">
        <f>Supuestos!$C$87*(1+Supuestos!$C$113)^INT((E$47-1)/12)</f>
        <v>1545</v>
      </c>
      <c r="F61" s="59">
        <f>Supuestos!$C$87*(1+Supuestos!$C$113)^INT((F$47-1)/12)</f>
        <v>1545</v>
      </c>
      <c r="G61" s="59">
        <f>Supuestos!$C$87*(1+Supuestos!$C$113)^INT((G$47-1)/12)</f>
        <v>1545</v>
      </c>
      <c r="H61" s="59">
        <f>Supuestos!$C$87*(1+Supuestos!$C$113)^INT((H$47-1)/12)</f>
        <v>1545</v>
      </c>
      <c r="I61" s="59">
        <f>Supuestos!$C$87*(1+Supuestos!$C$113)^INT((I$47-1)/12)</f>
        <v>1545</v>
      </c>
      <c r="J61" s="59">
        <f>Supuestos!$C$87*(1+Supuestos!$C$113)^INT((J$47-1)/12)</f>
        <v>1545</v>
      </c>
      <c r="K61" s="59">
        <f>Supuestos!$C$87*(1+Supuestos!$C$113)^INT((K$47-1)/12)</f>
        <v>1545</v>
      </c>
      <c r="L61" s="59">
        <f>Supuestos!$C$87*(1+Supuestos!$C$113)^INT((L$47-1)/12)</f>
        <v>1545</v>
      </c>
      <c r="M61" s="59">
        <f>Supuestos!$C$87*(1+Supuestos!$C$113)^INT((M$47-1)/12)</f>
        <v>1545</v>
      </c>
      <c r="N61" s="59">
        <f>Supuestos!$C$87*(1+Supuestos!$C$113)^INT((N$47-1)/12)</f>
        <v>1545</v>
      </c>
      <c r="O61" s="75">
        <f t="shared" si="14"/>
        <v>18540</v>
      </c>
    </row>
    <row r="62" spans="2:15" x14ac:dyDescent="0.2">
      <c r="B62" s="7" t="s">
        <v>233</v>
      </c>
      <c r="C62" s="59">
        <f>Supuestos!$C$88*(1+Supuestos!$C$113)^INT((C$47-1)/12)</f>
        <v>154.5</v>
      </c>
      <c r="D62" s="59">
        <f>Supuestos!$C$88*(1+Supuestos!$C$113)^INT((D$47-1)/12)</f>
        <v>154.5</v>
      </c>
      <c r="E62" s="59">
        <f>Supuestos!$C$88*(1+Supuestos!$C$113)^INT((E$47-1)/12)</f>
        <v>154.5</v>
      </c>
      <c r="F62" s="59">
        <f>Supuestos!$C$88*(1+Supuestos!$C$113)^INT((F$47-1)/12)</f>
        <v>154.5</v>
      </c>
      <c r="G62" s="59">
        <f>Supuestos!$C$88*(1+Supuestos!$C$113)^INT((G$47-1)/12)</f>
        <v>154.5</v>
      </c>
      <c r="H62" s="59">
        <f>Supuestos!$C$88*(1+Supuestos!$C$113)^INT((H$47-1)/12)</f>
        <v>154.5</v>
      </c>
      <c r="I62" s="59">
        <f>Supuestos!$C$88*(1+Supuestos!$C$113)^INT((I$47-1)/12)</f>
        <v>154.5</v>
      </c>
      <c r="J62" s="59">
        <f>Supuestos!$C$88*(1+Supuestos!$C$113)^INT((J$47-1)/12)</f>
        <v>154.5</v>
      </c>
      <c r="K62" s="59">
        <f>Supuestos!$C$88*(1+Supuestos!$C$113)^INT((K$47-1)/12)</f>
        <v>154.5</v>
      </c>
      <c r="L62" s="59">
        <f>Supuestos!$C$88*(1+Supuestos!$C$113)^INT((L$47-1)/12)</f>
        <v>154.5</v>
      </c>
      <c r="M62" s="59">
        <f>Supuestos!$C$88*(1+Supuestos!$C$113)^INT((M$47-1)/12)</f>
        <v>154.5</v>
      </c>
      <c r="N62" s="59">
        <f>Supuestos!$C$88*(1+Supuestos!$C$113)^INT((N$47-1)/12)</f>
        <v>154.5</v>
      </c>
      <c r="O62" s="75">
        <f t="shared" si="14"/>
        <v>1854</v>
      </c>
    </row>
    <row r="63" spans="2:15" x14ac:dyDescent="0.2">
      <c r="B63" s="7" t="s">
        <v>153</v>
      </c>
      <c r="C63" s="59">
        <f>Supuestos!$C$89*(1+Supuestos!$C$113)^INT((C$47-1)/12)</f>
        <v>185.4</v>
      </c>
      <c r="D63" s="59">
        <f>Supuestos!$C$89*(1+Supuestos!$C$113)^INT((D$47-1)/12)</f>
        <v>185.4</v>
      </c>
      <c r="E63" s="59">
        <f>Supuestos!$C$89*(1+Supuestos!$C$113)^INT((E$47-1)/12)</f>
        <v>185.4</v>
      </c>
      <c r="F63" s="59">
        <f>Supuestos!$C$89*(1+Supuestos!$C$113)^INT((F$47-1)/12)</f>
        <v>185.4</v>
      </c>
      <c r="G63" s="59">
        <f>Supuestos!$C$89*(1+Supuestos!$C$113)^INT((G$47-1)/12)</f>
        <v>185.4</v>
      </c>
      <c r="H63" s="59">
        <f>Supuestos!$C$89*(1+Supuestos!$C$113)^INT((H$47-1)/12)</f>
        <v>185.4</v>
      </c>
      <c r="I63" s="59">
        <f>Supuestos!$C$89*(1+Supuestos!$C$113)^INT((I$47-1)/12)</f>
        <v>185.4</v>
      </c>
      <c r="J63" s="59">
        <f>Supuestos!$C$89*(1+Supuestos!$C$113)^INT((J$47-1)/12)</f>
        <v>185.4</v>
      </c>
      <c r="K63" s="59">
        <f>Supuestos!$C$89*(1+Supuestos!$C$113)^INT((K$47-1)/12)</f>
        <v>185.4</v>
      </c>
      <c r="L63" s="59">
        <f>Supuestos!$C$89*(1+Supuestos!$C$113)^INT((L$47-1)/12)</f>
        <v>185.4</v>
      </c>
      <c r="M63" s="59">
        <f>Supuestos!$C$89*(1+Supuestos!$C$113)^INT((M$47-1)/12)</f>
        <v>185.4</v>
      </c>
      <c r="N63" s="59">
        <f>Supuestos!$C$89*(1+Supuestos!$C$113)^INT((N$47-1)/12)</f>
        <v>185.4</v>
      </c>
      <c r="O63" s="75">
        <f t="shared" si="14"/>
        <v>2224.8000000000006</v>
      </c>
    </row>
    <row r="64" spans="2:15" x14ac:dyDescent="0.2">
      <c r="B64" s="7" t="s">
        <v>155</v>
      </c>
      <c r="C64" s="59">
        <f>Supuestos!$C$90*(1+Supuestos!$C$113)^INT((C$47-1)/12)</f>
        <v>412</v>
      </c>
      <c r="D64" s="59">
        <f>Supuestos!$C$90*(1+Supuestos!$C$113)^INT((D$47-1)/12)</f>
        <v>412</v>
      </c>
      <c r="E64" s="59">
        <f>Supuestos!$C$90*(1+Supuestos!$C$113)^INT((E$47-1)/12)</f>
        <v>412</v>
      </c>
      <c r="F64" s="59">
        <f>Supuestos!$C$90*(1+Supuestos!$C$113)^INT((F$47-1)/12)</f>
        <v>412</v>
      </c>
      <c r="G64" s="59">
        <f>Supuestos!$C$90*(1+Supuestos!$C$113)^INT((G$47-1)/12)</f>
        <v>412</v>
      </c>
      <c r="H64" s="59">
        <f>Supuestos!$C$90*(1+Supuestos!$C$113)^INT((H$47-1)/12)</f>
        <v>412</v>
      </c>
      <c r="I64" s="59">
        <f>Supuestos!$C$90*(1+Supuestos!$C$113)^INT((I$47-1)/12)</f>
        <v>412</v>
      </c>
      <c r="J64" s="59">
        <f>Supuestos!$C$90*(1+Supuestos!$C$113)^INT((J$47-1)/12)</f>
        <v>412</v>
      </c>
      <c r="K64" s="59">
        <f>Supuestos!$C$90*(1+Supuestos!$C$113)^INT((K$47-1)/12)</f>
        <v>412</v>
      </c>
      <c r="L64" s="59">
        <f>Supuestos!$C$90*(1+Supuestos!$C$113)^INT((L$47-1)/12)</f>
        <v>412</v>
      </c>
      <c r="M64" s="59">
        <f>Supuestos!$C$90*(1+Supuestos!$C$113)^INT((M$47-1)/12)</f>
        <v>412</v>
      </c>
      <c r="N64" s="59">
        <f>Supuestos!$C$90*(1+Supuestos!$C$113)^INT((N$47-1)/12)</f>
        <v>412</v>
      </c>
      <c r="O64" s="75">
        <f t="shared" si="14"/>
        <v>4944</v>
      </c>
    </row>
    <row r="65" spans="2:15" x14ac:dyDescent="0.2">
      <c r="B65" s="7" t="s">
        <v>157</v>
      </c>
      <c r="C65" s="59">
        <f>Supuestos!$C$91*(1+Supuestos!$C$113)^INT((C$47-1)/12)</f>
        <v>1133</v>
      </c>
      <c r="D65" s="59">
        <f>Supuestos!$C$91*(1+Supuestos!$C$113)^INT((D$47-1)/12)</f>
        <v>1133</v>
      </c>
      <c r="E65" s="59">
        <f>Supuestos!$C$91*(1+Supuestos!$C$113)^INT((E$47-1)/12)</f>
        <v>1133</v>
      </c>
      <c r="F65" s="59">
        <f>Supuestos!$C$91*(1+Supuestos!$C$113)^INT((F$47-1)/12)</f>
        <v>1133</v>
      </c>
      <c r="G65" s="59">
        <f>Supuestos!$C$91*(1+Supuestos!$C$113)^INT((G$47-1)/12)</f>
        <v>1133</v>
      </c>
      <c r="H65" s="59">
        <f>Supuestos!$C$91*(1+Supuestos!$C$113)^INT((H$47-1)/12)</f>
        <v>1133</v>
      </c>
      <c r="I65" s="59">
        <f>Supuestos!$C$91*(1+Supuestos!$C$113)^INT((I$47-1)/12)</f>
        <v>1133</v>
      </c>
      <c r="J65" s="59">
        <f>Supuestos!$C$91*(1+Supuestos!$C$113)^INT((J$47-1)/12)</f>
        <v>1133</v>
      </c>
      <c r="K65" s="59">
        <f>Supuestos!$C$91*(1+Supuestos!$C$113)^INT((K$47-1)/12)</f>
        <v>1133</v>
      </c>
      <c r="L65" s="59">
        <f>Supuestos!$C$91*(1+Supuestos!$C$113)^INT((L$47-1)/12)</f>
        <v>1133</v>
      </c>
      <c r="M65" s="59">
        <f>Supuestos!$C$91*(1+Supuestos!$C$113)^INT((M$47-1)/12)</f>
        <v>1133</v>
      </c>
      <c r="N65" s="59">
        <f>Supuestos!$C$91*(1+Supuestos!$C$113)^INT((N$47-1)/12)</f>
        <v>1133</v>
      </c>
      <c r="O65" s="75">
        <f t="shared" si="14"/>
        <v>13596</v>
      </c>
    </row>
    <row r="66" spans="2:15" x14ac:dyDescent="0.2">
      <c r="B66" s="7" t="s">
        <v>159</v>
      </c>
      <c r="C66" s="59">
        <f>Supuestos!$C$92*(1+Supuestos!$C$113)^INT((C$47-1)/12)</f>
        <v>309</v>
      </c>
      <c r="D66" s="59">
        <f>Supuestos!$C$92*(1+Supuestos!$C$113)^INT((D$47-1)/12)</f>
        <v>309</v>
      </c>
      <c r="E66" s="59">
        <f>Supuestos!$C$92*(1+Supuestos!$C$113)^INT((E$47-1)/12)</f>
        <v>309</v>
      </c>
      <c r="F66" s="59">
        <f>Supuestos!$C$92*(1+Supuestos!$C$113)^INT((F$47-1)/12)</f>
        <v>309</v>
      </c>
      <c r="G66" s="59">
        <f>Supuestos!$C$92*(1+Supuestos!$C$113)^INT((G$47-1)/12)</f>
        <v>309</v>
      </c>
      <c r="H66" s="59">
        <f>Supuestos!$C$92*(1+Supuestos!$C$113)^INT((H$47-1)/12)</f>
        <v>309</v>
      </c>
      <c r="I66" s="59">
        <f>Supuestos!$C$92*(1+Supuestos!$C$113)^INT((I$47-1)/12)</f>
        <v>309</v>
      </c>
      <c r="J66" s="59">
        <f>Supuestos!$C$92*(1+Supuestos!$C$113)^INT((J$47-1)/12)</f>
        <v>309</v>
      </c>
      <c r="K66" s="59">
        <f>Supuestos!$C$92*(1+Supuestos!$C$113)^INT((K$47-1)/12)</f>
        <v>309</v>
      </c>
      <c r="L66" s="59">
        <f>Supuestos!$C$92*(1+Supuestos!$C$113)^INT((L$47-1)/12)</f>
        <v>309</v>
      </c>
      <c r="M66" s="59">
        <f>Supuestos!$C$92*(1+Supuestos!$C$113)^INT((M$47-1)/12)</f>
        <v>309</v>
      </c>
      <c r="N66" s="59">
        <f>Supuestos!$C$92*(1+Supuestos!$C$113)^INT((N$47-1)/12)</f>
        <v>309</v>
      </c>
      <c r="O66" s="75">
        <f t="shared" si="14"/>
        <v>3708</v>
      </c>
    </row>
    <row r="67" spans="2:15" x14ac:dyDescent="0.2">
      <c r="B67" s="7" t="s">
        <v>161</v>
      </c>
      <c r="C67" s="59">
        <f>Supuestos!$C$93*(1+Supuestos!$C$113)^INT((C$47-1)/12)</f>
        <v>824</v>
      </c>
      <c r="D67" s="59">
        <f>Supuestos!$C$93*(1+Supuestos!$C$113)^INT((D$47-1)/12)</f>
        <v>824</v>
      </c>
      <c r="E67" s="59">
        <f>Supuestos!$C$93*(1+Supuestos!$C$113)^INT((E$47-1)/12)</f>
        <v>824</v>
      </c>
      <c r="F67" s="59">
        <f>Supuestos!$C$93*(1+Supuestos!$C$113)^INT((F$47-1)/12)</f>
        <v>824</v>
      </c>
      <c r="G67" s="59">
        <f>Supuestos!$C$93*(1+Supuestos!$C$113)^INT((G$47-1)/12)</f>
        <v>824</v>
      </c>
      <c r="H67" s="59">
        <f>Supuestos!$C$93*(1+Supuestos!$C$113)^INT((H$47-1)/12)</f>
        <v>824</v>
      </c>
      <c r="I67" s="59">
        <f>Supuestos!$C$93*(1+Supuestos!$C$113)^INT((I$47-1)/12)</f>
        <v>824</v>
      </c>
      <c r="J67" s="59">
        <f>Supuestos!$C$93*(1+Supuestos!$C$113)^INT((J$47-1)/12)</f>
        <v>824</v>
      </c>
      <c r="K67" s="59">
        <f>Supuestos!$C$93*(1+Supuestos!$C$113)^INT((K$47-1)/12)</f>
        <v>824</v>
      </c>
      <c r="L67" s="59">
        <f>Supuestos!$C$93*(1+Supuestos!$C$113)^INT((L$47-1)/12)</f>
        <v>824</v>
      </c>
      <c r="M67" s="59">
        <f>Supuestos!$C$93*(1+Supuestos!$C$113)^INT((M$47-1)/12)</f>
        <v>824</v>
      </c>
      <c r="N67" s="59">
        <f>Supuestos!$C$93*(1+Supuestos!$C$113)^INT((N$47-1)/12)</f>
        <v>824</v>
      </c>
      <c r="O67" s="75">
        <f t="shared" si="14"/>
        <v>9888</v>
      </c>
    </row>
    <row r="68" spans="2:15" x14ac:dyDescent="0.2">
      <c r="B68" s="7" t="s">
        <v>145</v>
      </c>
      <c r="C68" s="59">
        <f>Supuestos!$C$94*(1+Supuestos!$C$113)^INT((C$47-1)/12)</f>
        <v>515</v>
      </c>
      <c r="D68" s="59">
        <f>Supuestos!$C$94*(1+Supuestos!$C$113)^INT((D$47-1)/12)</f>
        <v>515</v>
      </c>
      <c r="E68" s="59">
        <f>Supuestos!$C$94*(1+Supuestos!$C$113)^INT((E$47-1)/12)</f>
        <v>515</v>
      </c>
      <c r="F68" s="59">
        <f>Supuestos!$C$94*(1+Supuestos!$C$113)^INT((F$47-1)/12)</f>
        <v>515</v>
      </c>
      <c r="G68" s="59">
        <f>Supuestos!$C$94*(1+Supuestos!$C$113)^INT((G$47-1)/12)</f>
        <v>515</v>
      </c>
      <c r="H68" s="59">
        <f>Supuestos!$C$94*(1+Supuestos!$C$113)^INT((H$47-1)/12)</f>
        <v>515</v>
      </c>
      <c r="I68" s="59">
        <f>Supuestos!$C$94*(1+Supuestos!$C$113)^INT((I$47-1)/12)</f>
        <v>515</v>
      </c>
      <c r="J68" s="59">
        <f>Supuestos!$C$94*(1+Supuestos!$C$113)^INT((J$47-1)/12)</f>
        <v>515</v>
      </c>
      <c r="K68" s="59">
        <f>Supuestos!$C$94*(1+Supuestos!$C$113)^INT((K$47-1)/12)</f>
        <v>515</v>
      </c>
      <c r="L68" s="59">
        <f>Supuestos!$C$94*(1+Supuestos!$C$113)^INT((L$47-1)/12)</f>
        <v>515</v>
      </c>
      <c r="M68" s="59">
        <f>Supuestos!$C$94*(1+Supuestos!$C$113)^INT((M$47-1)/12)</f>
        <v>515</v>
      </c>
      <c r="N68" s="59">
        <f>Supuestos!$C$94*(1+Supuestos!$C$113)^INT((N$47-1)/12)</f>
        <v>515</v>
      </c>
      <c r="O68" s="75">
        <f t="shared" si="14"/>
        <v>6180</v>
      </c>
    </row>
    <row r="69" spans="2:15" x14ac:dyDescent="0.2">
      <c r="B69" s="65" t="s">
        <v>234</v>
      </c>
      <c r="C69" s="76">
        <f t="shared" ref="C69:N69" si="15">SUM(C59:C68)</f>
        <v>17849.900000000001</v>
      </c>
      <c r="D69" s="76">
        <f t="shared" si="15"/>
        <v>17849.900000000001</v>
      </c>
      <c r="E69" s="76">
        <f t="shared" si="15"/>
        <v>17849.900000000001</v>
      </c>
      <c r="F69" s="76">
        <f t="shared" si="15"/>
        <v>17849.900000000001</v>
      </c>
      <c r="G69" s="76">
        <f t="shared" si="15"/>
        <v>17849.900000000001</v>
      </c>
      <c r="H69" s="76">
        <f t="shared" si="15"/>
        <v>17849.900000000001</v>
      </c>
      <c r="I69" s="76">
        <f t="shared" si="15"/>
        <v>17849.900000000001</v>
      </c>
      <c r="J69" s="76">
        <f t="shared" si="15"/>
        <v>17849.900000000001</v>
      </c>
      <c r="K69" s="76">
        <f t="shared" si="15"/>
        <v>17849.900000000001</v>
      </c>
      <c r="L69" s="76">
        <f t="shared" si="15"/>
        <v>17849.900000000001</v>
      </c>
      <c r="M69" s="76">
        <f t="shared" si="15"/>
        <v>17849.900000000001</v>
      </c>
      <c r="N69" s="76">
        <f t="shared" si="15"/>
        <v>17849.900000000001</v>
      </c>
      <c r="O69" s="75">
        <f t="shared" si="14"/>
        <v>214198.79999999996</v>
      </c>
    </row>
    <row r="70" spans="2:15" ht="18" customHeight="1" x14ac:dyDescent="0.2">
      <c r="B70" s="71" t="s">
        <v>235</v>
      </c>
    </row>
    <row r="71" spans="2:15" x14ac:dyDescent="0.2">
      <c r="B71" s="7" t="s">
        <v>236</v>
      </c>
      <c r="C71" s="59">
        <f>C57*Supuestos!$C$98</f>
        <v>268.13985239999994</v>
      </c>
      <c r="D71" s="59">
        <f>D57*Supuestos!$C$98</f>
        <v>280.08994199999995</v>
      </c>
      <c r="E71" s="59">
        <f>E57*Supuestos!$C$98</f>
        <v>284.95798680000001</v>
      </c>
      <c r="F71" s="59">
        <f>F57*Supuestos!$C$98</f>
        <v>282.55299239999988</v>
      </c>
      <c r="G71" s="59">
        <f>G57*Supuestos!$C$98</f>
        <v>308.85359039999992</v>
      </c>
      <c r="H71" s="59">
        <f>H57*Supuestos!$C$98</f>
        <v>311.45262959999997</v>
      </c>
      <c r="I71" s="59">
        <f>I57*Supuestos!$C$98</f>
        <v>315.66365759999996</v>
      </c>
      <c r="J71" s="59">
        <f>J57*Supuestos!$C$98</f>
        <v>316.5116688</v>
      </c>
      <c r="K71" s="59">
        <f>K57*Supuestos!$C$98</f>
        <v>318.58967999999993</v>
      </c>
      <c r="L71" s="59">
        <f>L57*Supuestos!$C$98</f>
        <v>314.54366879999998</v>
      </c>
      <c r="M71" s="59">
        <f>M57*Supuestos!$C$98</f>
        <v>307.8726408</v>
      </c>
      <c r="N71" s="59">
        <f>N57*Supuestos!$C$98</f>
        <v>300.90060719999997</v>
      </c>
      <c r="O71" s="75">
        <f>SUM(C71:N71)</f>
        <v>3610.1289168000003</v>
      </c>
    </row>
    <row r="72" spans="2:15" x14ac:dyDescent="0.2">
      <c r="B72" s="7" t="s">
        <v>237</v>
      </c>
      <c r="C72" s="59">
        <f>C56*Supuestos!$C$99</f>
        <v>1361.45625</v>
      </c>
      <c r="D72" s="59">
        <f>D56*Supuestos!$C$99</f>
        <v>1451.6562499999998</v>
      </c>
      <c r="E72" s="59">
        <f>E56*Supuestos!$C$99</f>
        <v>1496.7562499999999</v>
      </c>
      <c r="F72" s="59">
        <f>F56*Supuestos!$C$99</f>
        <v>1502.39375</v>
      </c>
      <c r="G72" s="59">
        <f>G56*Supuestos!$C$99</f>
        <v>1601.05</v>
      </c>
      <c r="H72" s="59">
        <f>H56*Supuestos!$C$99</f>
        <v>1640.5124999999998</v>
      </c>
      <c r="I72" s="59">
        <f>I56*Supuestos!$C$99</f>
        <v>1668.6999999999998</v>
      </c>
      <c r="J72" s="59">
        <f>J56*Supuestos!$C$99</f>
        <v>1679.9749999999999</v>
      </c>
      <c r="K72" s="59">
        <f>K56*Supuestos!$C$99</f>
        <v>1691.2499999999998</v>
      </c>
      <c r="L72" s="59">
        <f>L56*Supuestos!$C$99</f>
        <v>1679.9749999999999</v>
      </c>
      <c r="M72" s="59">
        <f>M56*Supuestos!$C$99</f>
        <v>1651.7874999999999</v>
      </c>
      <c r="N72" s="59">
        <f>N56*Supuestos!$C$99</f>
        <v>1617.9624999999999</v>
      </c>
      <c r="O72" s="75">
        <f>SUM(C72:N72)</f>
        <v>19043.475000000002</v>
      </c>
    </row>
    <row r="73" spans="2:15" x14ac:dyDescent="0.2">
      <c r="B73" s="65" t="s">
        <v>238</v>
      </c>
      <c r="C73" s="76">
        <f t="shared" ref="C73:N73" si="16">SUM(C71:C72)</f>
        <v>1629.5961023999998</v>
      </c>
      <c r="D73" s="76">
        <f t="shared" si="16"/>
        <v>1731.7461919999996</v>
      </c>
      <c r="E73" s="76">
        <f t="shared" si="16"/>
        <v>1781.7142368</v>
      </c>
      <c r="F73" s="76">
        <f t="shared" si="16"/>
        <v>1784.9467423999999</v>
      </c>
      <c r="G73" s="76">
        <f t="shared" si="16"/>
        <v>1909.9035903999998</v>
      </c>
      <c r="H73" s="76">
        <f t="shared" si="16"/>
        <v>1951.9651295999997</v>
      </c>
      <c r="I73" s="76">
        <f t="shared" si="16"/>
        <v>1984.3636575999999</v>
      </c>
      <c r="J73" s="76">
        <f t="shared" si="16"/>
        <v>1996.4866688</v>
      </c>
      <c r="K73" s="76">
        <f t="shared" si="16"/>
        <v>2009.8396799999996</v>
      </c>
      <c r="L73" s="76">
        <f t="shared" si="16"/>
        <v>1994.5186687999999</v>
      </c>
      <c r="M73" s="76">
        <f t="shared" si="16"/>
        <v>1959.6601407999999</v>
      </c>
      <c r="N73" s="76">
        <f t="shared" si="16"/>
        <v>1918.8631071999998</v>
      </c>
      <c r="O73" s="75">
        <f>SUM(C73:N73)</f>
        <v>22653.603916799995</v>
      </c>
    </row>
    <row r="74" spans="2:15" x14ac:dyDescent="0.2">
      <c r="B74" s="77" t="s">
        <v>210</v>
      </c>
      <c r="C74" s="78">
        <f t="shared" ref="C74:N74" si="17">C57-C69-C73</f>
        <v>2865.4915975999929</v>
      </c>
      <c r="D74" s="78">
        <f t="shared" si="17"/>
        <v>3759.1823079999949</v>
      </c>
      <c r="E74" s="78">
        <f t="shared" si="17"/>
        <v>4114.8846631999968</v>
      </c>
      <c r="F74" s="78">
        <f t="shared" si="17"/>
        <v>3911.2359575999903</v>
      </c>
      <c r="G74" s="78">
        <f t="shared" si="17"/>
        <v>5977.9956095999933</v>
      </c>
      <c r="H74" s="78">
        <f t="shared" si="17"/>
        <v>6152.5206703999957</v>
      </c>
      <c r="I74" s="78">
        <f t="shared" si="17"/>
        <v>6471.0411423999967</v>
      </c>
      <c r="J74" s="78">
        <f t="shared" si="17"/>
        <v>6529.5857311999971</v>
      </c>
      <c r="K74" s="78">
        <f t="shared" si="17"/>
        <v>6689.4003199999952</v>
      </c>
      <c r="L74" s="78">
        <f t="shared" si="17"/>
        <v>6367.5537311999979</v>
      </c>
      <c r="M74" s="78">
        <f t="shared" si="17"/>
        <v>5846.4932591999959</v>
      </c>
      <c r="N74" s="78">
        <f t="shared" si="17"/>
        <v>5306.2874927999974</v>
      </c>
      <c r="O74" s="78">
        <f>SUM(C74:N74)</f>
        <v>63991.672483199945</v>
      </c>
    </row>
    <row r="75" spans="2:15" ht="18" customHeight="1" x14ac:dyDescent="0.2">
      <c r="B75" s="71" t="s">
        <v>239</v>
      </c>
    </row>
    <row r="76" spans="2:15" x14ac:dyDescent="0.2">
      <c r="B76" s="7" t="s">
        <v>240</v>
      </c>
      <c r="C76" s="59">
        <f>IF(C$47&lt;=Supuestos!$C$106,C77,MIN(Supuestos!$C$108,N41+C77))</f>
        <v>2327.1337741042303</v>
      </c>
      <c r="D76" s="59">
        <f>IF(D$47&lt;=Supuestos!$C$106,D77,MIN(Supuestos!$C$108,C79+D77))</f>
        <v>2327.1337741042303</v>
      </c>
      <c r="E76" s="59">
        <f>IF(E$47&lt;=Supuestos!$C$106,E77,MIN(Supuestos!$C$108,D79+E77))</f>
        <v>2327.1337741042303</v>
      </c>
      <c r="F76" s="59">
        <f>IF(F$47&lt;=Supuestos!$C$106,F77,MIN(Supuestos!$C$108,E79+F77))</f>
        <v>2327.1337741042303</v>
      </c>
      <c r="G76" s="59">
        <f>IF(G$47&lt;=Supuestos!$C$106,G77,MIN(Supuestos!$C$108,F79+G77))</f>
        <v>2327.1337741042303</v>
      </c>
      <c r="H76" s="59">
        <f>IF(H$47&lt;=Supuestos!$C$106,H77,MIN(Supuestos!$C$108,G79+H77))</f>
        <v>2327.1337741042303</v>
      </c>
      <c r="I76" s="59">
        <f>IF(I$47&lt;=Supuestos!$C$106,I77,MIN(Supuestos!$C$108,H79+I77))</f>
        <v>2327.1337741042303</v>
      </c>
      <c r="J76" s="59">
        <f>IF(J$47&lt;=Supuestos!$C$106,J77,MIN(Supuestos!$C$108,I79+J77))</f>
        <v>2327.1337741042303</v>
      </c>
      <c r="K76" s="59">
        <f>IF(K$47&lt;=Supuestos!$C$106,K77,MIN(Supuestos!$C$108,J79+K77))</f>
        <v>2327.1337741042303</v>
      </c>
      <c r="L76" s="59">
        <f>IF(L$47&lt;=Supuestos!$C$106,L77,MIN(Supuestos!$C$108,K79+L77))</f>
        <v>2327.1337741042303</v>
      </c>
      <c r="M76" s="59">
        <f>IF(M$47&lt;=Supuestos!$C$106,M77,MIN(Supuestos!$C$108,L79+M77))</f>
        <v>2327.1337741042303</v>
      </c>
      <c r="N76" s="59">
        <f>IF(N$47&lt;=Supuestos!$C$106,N77,MIN(Supuestos!$C$108,M79+N77))</f>
        <v>2327.1337741042303</v>
      </c>
      <c r="O76" s="75">
        <f>SUM(C76:N76)</f>
        <v>27925.605289250761</v>
      </c>
    </row>
    <row r="77" spans="2:15" x14ac:dyDescent="0.2">
      <c r="B77" s="79" t="s">
        <v>241</v>
      </c>
      <c r="C77" s="80">
        <f>N41*Supuestos!$C$104/12</f>
        <v>702.09060396192342</v>
      </c>
      <c r="D77" s="80">
        <f>C79*Supuestos!$C$104/12</f>
        <v>693.96538811121184</v>
      </c>
      <c r="E77" s="80">
        <f>D79*Supuestos!$C$104/12</f>
        <v>685.79954618124691</v>
      </c>
      <c r="F77" s="80">
        <f>E79*Supuestos!$C$104/12</f>
        <v>677.59287504163183</v>
      </c>
      <c r="G77" s="80">
        <f>F79*Supuestos!$C$104/12</f>
        <v>669.34517054631897</v>
      </c>
      <c r="H77" s="80">
        <f>G79*Supuestos!$C$104/12</f>
        <v>661.05622752852935</v>
      </c>
      <c r="I77" s="80">
        <f>H79*Supuestos!$C$104/12</f>
        <v>652.72583979565081</v>
      </c>
      <c r="J77" s="80">
        <f>I79*Supuestos!$C$104/12</f>
        <v>644.35380012410803</v>
      </c>
      <c r="K77" s="80">
        <f>J79*Supuestos!$C$104/12</f>
        <v>635.93990025420737</v>
      </c>
      <c r="L77" s="80">
        <f>K79*Supuestos!$C$104/12</f>
        <v>627.4839308849572</v>
      </c>
      <c r="M77" s="80">
        <f>L79*Supuestos!$C$104/12</f>
        <v>618.98568166886093</v>
      </c>
      <c r="N77" s="80">
        <f>M79*Supuestos!$C$104/12</f>
        <v>610.44494120668412</v>
      </c>
      <c r="O77" s="75">
        <f>SUM(C77:N77)</f>
        <v>7879.7839053053303</v>
      </c>
    </row>
    <row r="78" spans="2:15" x14ac:dyDescent="0.2">
      <c r="B78" s="79" t="s">
        <v>242</v>
      </c>
      <c r="C78" s="80">
        <f t="shared" ref="C78:N78" si="18">C76-C77</f>
        <v>1625.0431701423067</v>
      </c>
      <c r="D78" s="80">
        <f t="shared" si="18"/>
        <v>1633.1683859930185</v>
      </c>
      <c r="E78" s="80">
        <f t="shared" si="18"/>
        <v>1641.3342279229832</v>
      </c>
      <c r="F78" s="80">
        <f t="shared" si="18"/>
        <v>1649.5408990625983</v>
      </c>
      <c r="G78" s="80">
        <f t="shared" si="18"/>
        <v>1657.7886035579113</v>
      </c>
      <c r="H78" s="80">
        <f t="shared" si="18"/>
        <v>1666.077546575701</v>
      </c>
      <c r="I78" s="80">
        <f t="shared" si="18"/>
        <v>1674.4079343085796</v>
      </c>
      <c r="J78" s="80">
        <f t="shared" si="18"/>
        <v>1682.7799739801221</v>
      </c>
      <c r="K78" s="80">
        <f t="shared" si="18"/>
        <v>1691.193873850023</v>
      </c>
      <c r="L78" s="80">
        <f t="shared" si="18"/>
        <v>1699.649843219273</v>
      </c>
      <c r="M78" s="80">
        <f t="shared" si="18"/>
        <v>1708.1480924353693</v>
      </c>
      <c r="N78" s="80">
        <f t="shared" si="18"/>
        <v>1716.688832897546</v>
      </c>
      <c r="O78" s="75">
        <f>SUM(C78:N78)</f>
        <v>20045.821383945437</v>
      </c>
    </row>
    <row r="79" spans="2:15" x14ac:dyDescent="0.2">
      <c r="B79" s="7" t="s">
        <v>243</v>
      </c>
      <c r="C79" s="59">
        <f>MAX(0,N41-C78)</f>
        <v>138793.07762224239</v>
      </c>
      <c r="D79" s="59">
        <f t="shared" ref="D79:N79" si="19">MAX(0,C79-D78)</f>
        <v>137159.90923624937</v>
      </c>
      <c r="E79" s="59">
        <f t="shared" si="19"/>
        <v>135518.57500832638</v>
      </c>
      <c r="F79" s="59">
        <f t="shared" si="19"/>
        <v>133869.0341092638</v>
      </c>
      <c r="G79" s="59">
        <f t="shared" si="19"/>
        <v>132211.24550570588</v>
      </c>
      <c r="H79" s="59">
        <f t="shared" si="19"/>
        <v>130545.16795913018</v>
      </c>
      <c r="I79" s="59">
        <f t="shared" si="19"/>
        <v>128870.7600248216</v>
      </c>
      <c r="J79" s="59">
        <f t="shared" si="19"/>
        <v>127187.98005084148</v>
      </c>
      <c r="K79" s="59">
        <f t="shared" si="19"/>
        <v>125496.78617699146</v>
      </c>
      <c r="L79" s="59">
        <f t="shared" si="19"/>
        <v>123797.13633377219</v>
      </c>
      <c r="M79" s="59">
        <f t="shared" si="19"/>
        <v>122088.98824133682</v>
      </c>
      <c r="N79" s="59">
        <f t="shared" si="19"/>
        <v>120372.29940843927</v>
      </c>
      <c r="O79" s="75">
        <f>N79</f>
        <v>120372.29940843927</v>
      </c>
    </row>
    <row r="80" spans="2:15" x14ac:dyDescent="0.2">
      <c r="B80" s="65" t="s">
        <v>244</v>
      </c>
      <c r="C80" s="76">
        <f t="shared" ref="C80:N80" si="20">C74-C76</f>
        <v>538.35782349576266</v>
      </c>
      <c r="D80" s="76">
        <f t="shared" si="20"/>
        <v>1432.0485338957646</v>
      </c>
      <c r="E80" s="76">
        <f t="shared" si="20"/>
        <v>1787.7508890957665</v>
      </c>
      <c r="F80" s="76">
        <f t="shared" si="20"/>
        <v>1584.1021834957601</v>
      </c>
      <c r="G80" s="76">
        <f t="shared" si="20"/>
        <v>3650.861835495763</v>
      </c>
      <c r="H80" s="76">
        <f t="shared" si="20"/>
        <v>3825.3868962957654</v>
      </c>
      <c r="I80" s="76">
        <f t="shared" si="20"/>
        <v>4143.907368295766</v>
      </c>
      <c r="J80" s="76">
        <f t="shared" si="20"/>
        <v>4202.4519570957673</v>
      </c>
      <c r="K80" s="76">
        <f t="shared" si="20"/>
        <v>4362.2665458957654</v>
      </c>
      <c r="L80" s="76">
        <f t="shared" si="20"/>
        <v>4040.4199570957676</v>
      </c>
      <c r="M80" s="76">
        <f t="shared" si="20"/>
        <v>3519.3594850957656</v>
      </c>
      <c r="N80" s="76">
        <f t="shared" si="20"/>
        <v>2979.1537186957671</v>
      </c>
      <c r="O80" s="75">
        <f>SUM(C80:N80)</f>
        <v>36066.06719394918</v>
      </c>
    </row>
    <row r="81" spans="2:15" x14ac:dyDescent="0.2">
      <c r="B81" s="81" t="s">
        <v>201</v>
      </c>
      <c r="C81" s="82">
        <f>N43+C80</f>
        <v>11725.180234870366</v>
      </c>
      <c r="D81" s="82">
        <f t="shared" ref="D81:N81" si="21">C81+D80</f>
        <v>13157.22876876613</v>
      </c>
      <c r="E81" s="82">
        <f t="shared" si="21"/>
        <v>14944.979657861897</v>
      </c>
      <c r="F81" s="82">
        <f t="shared" si="21"/>
        <v>16529.081841357656</v>
      </c>
      <c r="G81" s="82">
        <f t="shared" si="21"/>
        <v>20179.943676853418</v>
      </c>
      <c r="H81" s="82">
        <f t="shared" si="21"/>
        <v>24005.330573149182</v>
      </c>
      <c r="I81" s="82">
        <f t="shared" si="21"/>
        <v>28149.237941444946</v>
      </c>
      <c r="J81" s="82">
        <f t="shared" si="21"/>
        <v>32351.689898540713</v>
      </c>
      <c r="K81" s="82">
        <f t="shared" si="21"/>
        <v>36713.956444436481</v>
      </c>
      <c r="L81" s="82">
        <f t="shared" si="21"/>
        <v>40754.376401532245</v>
      </c>
      <c r="M81" s="82">
        <f t="shared" si="21"/>
        <v>44273.735886628012</v>
      </c>
      <c r="N81" s="82">
        <f t="shared" si="21"/>
        <v>47252.889605323777</v>
      </c>
      <c r="O81" s="82">
        <f>N81</f>
        <v>47252.889605323777</v>
      </c>
    </row>
    <row r="83" spans="2:15" ht="26" customHeight="1" x14ac:dyDescent="0.2">
      <c r="B83" s="155" t="str">
        <f>"Año 3   ·   "&amp;CHOOSE(MONTH(DATE(YEAR(Supuestos!$C$8),MONTH(Supuestos!$C$8)+(25)-1,1)),"ene","feb","mar","abr","may","jun","jul","ago","sep","oct","nov","dic")&amp;" "&amp;YEAR(DATE(YEAR(Supuestos!$C$8),MONTH(Supuestos!$C$8)+(25)-1,1))&amp;" – "&amp;CHOOSE(MONTH(DATE(YEAR(Supuestos!$C$8),MONTH(Supuestos!$C$8)+(36)-1,1)),"ene","feb","mar","abr","may","jun","jul","ago","sep","oct","nov","dic")&amp;" "&amp;YEAR(DATE(YEAR(Supuestos!$C$8),MONTH(Supuestos!$C$8)+(36)-1,1))</f>
        <v>Año 3   ·   sep 2029 – ago 2030</v>
      </c>
      <c r="C83" s="156"/>
      <c r="D83" s="156"/>
      <c r="E83" s="156"/>
      <c r="F83" s="156"/>
      <c r="G83" s="156"/>
      <c r="H83" s="156"/>
      <c r="I83" s="156"/>
      <c r="J83" s="156"/>
      <c r="K83" s="156"/>
      <c r="L83" s="156"/>
      <c r="M83" s="156"/>
      <c r="N83" s="156"/>
      <c r="O83" s="156"/>
    </row>
    <row r="84" spans="2:15" ht="22" customHeight="1" x14ac:dyDescent="0.2">
      <c r="B84" s="32" t="s">
        <v>217</v>
      </c>
      <c r="C84" s="4" t="str">
        <f>CHOOSE(MONTH(DATE(YEAR(Supuestos!$C$8),MONTH(Supuestos!$C$8)+(25)-1,1)),"ene","feb","mar","abr","may","jun","jul","ago","sep","oct","nov","dic")&amp;" "&amp;RIGHT(YEAR(DATE(YEAR(Supuestos!$C$8),MONTH(Supuestos!$C$8)+(25)-1,1)),2)</f>
        <v>sep 29</v>
      </c>
      <c r="D84" s="4" t="str">
        <f>CHOOSE(MONTH(DATE(YEAR(Supuestos!$C$8),MONTH(Supuestos!$C$8)+(26)-1,1)),"ene","feb","mar","abr","may","jun","jul","ago","sep","oct","nov","dic")&amp;" "&amp;RIGHT(YEAR(DATE(YEAR(Supuestos!$C$8),MONTH(Supuestos!$C$8)+(26)-1,1)),2)</f>
        <v>oct 29</v>
      </c>
      <c r="E84" s="4" t="str">
        <f>CHOOSE(MONTH(DATE(YEAR(Supuestos!$C$8),MONTH(Supuestos!$C$8)+(27)-1,1)),"ene","feb","mar","abr","may","jun","jul","ago","sep","oct","nov","dic")&amp;" "&amp;RIGHT(YEAR(DATE(YEAR(Supuestos!$C$8),MONTH(Supuestos!$C$8)+(27)-1,1)),2)</f>
        <v>nov 29</v>
      </c>
      <c r="F84" s="4" t="str">
        <f>CHOOSE(MONTH(DATE(YEAR(Supuestos!$C$8),MONTH(Supuestos!$C$8)+(28)-1,1)),"ene","feb","mar","abr","may","jun","jul","ago","sep","oct","nov","dic")&amp;" "&amp;RIGHT(YEAR(DATE(YEAR(Supuestos!$C$8),MONTH(Supuestos!$C$8)+(28)-1,1)),2)</f>
        <v>dic 29</v>
      </c>
      <c r="G84" s="4" t="str">
        <f>CHOOSE(MONTH(DATE(YEAR(Supuestos!$C$8),MONTH(Supuestos!$C$8)+(29)-1,1)),"ene","feb","mar","abr","may","jun","jul","ago","sep","oct","nov","dic")&amp;" "&amp;RIGHT(YEAR(DATE(YEAR(Supuestos!$C$8),MONTH(Supuestos!$C$8)+(29)-1,1)),2)</f>
        <v>ene 30</v>
      </c>
      <c r="H84" s="4" t="str">
        <f>CHOOSE(MONTH(DATE(YEAR(Supuestos!$C$8),MONTH(Supuestos!$C$8)+(30)-1,1)),"ene","feb","mar","abr","may","jun","jul","ago","sep","oct","nov","dic")&amp;" "&amp;RIGHT(YEAR(DATE(YEAR(Supuestos!$C$8),MONTH(Supuestos!$C$8)+(30)-1,1)),2)</f>
        <v>feb 30</v>
      </c>
      <c r="I84" s="4" t="str">
        <f>CHOOSE(MONTH(DATE(YEAR(Supuestos!$C$8),MONTH(Supuestos!$C$8)+(31)-1,1)),"ene","feb","mar","abr","may","jun","jul","ago","sep","oct","nov","dic")&amp;" "&amp;RIGHT(YEAR(DATE(YEAR(Supuestos!$C$8),MONTH(Supuestos!$C$8)+(31)-1,1)),2)</f>
        <v>mar 30</v>
      </c>
      <c r="J84" s="4" t="str">
        <f>CHOOSE(MONTH(DATE(YEAR(Supuestos!$C$8),MONTH(Supuestos!$C$8)+(32)-1,1)),"ene","feb","mar","abr","may","jun","jul","ago","sep","oct","nov","dic")&amp;" "&amp;RIGHT(YEAR(DATE(YEAR(Supuestos!$C$8),MONTH(Supuestos!$C$8)+(32)-1,1)),2)</f>
        <v>abr 30</v>
      </c>
      <c r="K84" s="4" t="str">
        <f>CHOOSE(MONTH(DATE(YEAR(Supuestos!$C$8),MONTH(Supuestos!$C$8)+(33)-1,1)),"ene","feb","mar","abr","may","jun","jul","ago","sep","oct","nov","dic")&amp;" "&amp;RIGHT(YEAR(DATE(YEAR(Supuestos!$C$8),MONTH(Supuestos!$C$8)+(33)-1,1)),2)</f>
        <v>may 30</v>
      </c>
      <c r="L84" s="4" t="str">
        <f>CHOOSE(MONTH(DATE(YEAR(Supuestos!$C$8),MONTH(Supuestos!$C$8)+(34)-1,1)),"ene","feb","mar","abr","may","jun","jul","ago","sep","oct","nov","dic")&amp;" "&amp;RIGHT(YEAR(DATE(YEAR(Supuestos!$C$8),MONTH(Supuestos!$C$8)+(34)-1,1)),2)</f>
        <v>jun 30</v>
      </c>
      <c r="M84" s="4" t="str">
        <f>CHOOSE(MONTH(DATE(YEAR(Supuestos!$C$8),MONTH(Supuestos!$C$8)+(35)-1,1)),"ene","feb","mar","abr","may","jun","jul","ago","sep","oct","nov","dic")&amp;" "&amp;RIGHT(YEAR(DATE(YEAR(Supuestos!$C$8),MONTH(Supuestos!$C$8)+(35)-1,1)),2)</f>
        <v>jul 30</v>
      </c>
      <c r="N84" s="4" t="str">
        <f>CHOOSE(MONTH(DATE(YEAR(Supuestos!$C$8),MONTH(Supuestos!$C$8)+(36)-1,1)),"ene","feb","mar","abr","may","jun","jul","ago","sep","oct","nov","dic")&amp;" "&amp;RIGHT(YEAR(DATE(YEAR(Supuestos!$C$8),MONTH(Supuestos!$C$8)+(36)-1,1)),2)</f>
        <v>ago 30</v>
      </c>
      <c r="O84" s="4" t="s">
        <v>246</v>
      </c>
    </row>
    <row r="85" spans="2:15" x14ac:dyDescent="0.2">
      <c r="B85" s="69" t="s">
        <v>219</v>
      </c>
      <c r="C85" s="70">
        <v>25</v>
      </c>
      <c r="D85" s="70">
        <v>26</v>
      </c>
      <c r="E85" s="70">
        <v>27</v>
      </c>
      <c r="F85" s="70">
        <v>28</v>
      </c>
      <c r="G85" s="70">
        <v>29</v>
      </c>
      <c r="H85" s="70">
        <v>30</v>
      </c>
      <c r="I85" s="70">
        <v>31</v>
      </c>
      <c r="J85" s="70">
        <v>32</v>
      </c>
      <c r="K85" s="70">
        <v>33</v>
      </c>
      <c r="L85" s="70">
        <v>34</v>
      </c>
      <c r="M85" s="70">
        <v>35</v>
      </c>
      <c r="N85" s="70">
        <v>36</v>
      </c>
    </row>
    <row r="86" spans="2:15" ht="18" customHeight="1" x14ac:dyDescent="0.2">
      <c r="B86" s="71" t="s">
        <v>220</v>
      </c>
    </row>
    <row r="87" spans="2:15" x14ac:dyDescent="0.2">
      <c r="B87" s="7" t="s">
        <v>221</v>
      </c>
      <c r="C87" s="72">
        <f>N52</f>
        <v>574</v>
      </c>
      <c r="D87" s="72">
        <f t="shared" ref="D87:N87" si="22">C90</f>
        <v>613</v>
      </c>
      <c r="E87" s="72">
        <f t="shared" si="22"/>
        <v>633</v>
      </c>
      <c r="F87" s="72">
        <f t="shared" si="22"/>
        <v>641</v>
      </c>
      <c r="G87" s="72">
        <f t="shared" si="22"/>
        <v>636</v>
      </c>
      <c r="H87" s="72">
        <f t="shared" si="22"/>
        <v>660</v>
      </c>
      <c r="I87" s="72">
        <f t="shared" si="22"/>
        <v>667</v>
      </c>
      <c r="J87" s="72">
        <f t="shared" si="22"/>
        <v>669</v>
      </c>
      <c r="K87" s="72">
        <f t="shared" si="22"/>
        <v>667</v>
      </c>
      <c r="L87" s="72">
        <f t="shared" si="22"/>
        <v>665</v>
      </c>
      <c r="M87" s="72">
        <f t="shared" si="22"/>
        <v>656</v>
      </c>
      <c r="N87" s="72">
        <f t="shared" si="22"/>
        <v>642</v>
      </c>
      <c r="O87" s="73">
        <f>C87</f>
        <v>574</v>
      </c>
    </row>
    <row r="88" spans="2:15" x14ac:dyDescent="0.2">
      <c r="B88" s="7" t="s">
        <v>222</v>
      </c>
      <c r="C88" s="72">
        <f>MAX(0,MIN(ROUND(Supuestos!$F$12*IF(C$85&lt;=12,INDEX(Supuestos!$C$55:$C$66,C$85)+IF(C$85=1,Supuestos!$C$52,0),IF(C$85&lt;=24,Supuestos!$C$69,Supuestos!$C$70)*IFERROR(INDEX(Supuestos!$C$55:$C$66,MOD(C$85-1,12)+1)/AVERAGE(Supuestos!$C$55:$C$66),1)),0),IF(Supuestos!$C$72&gt;0,Supuestos!$C$72-C87+C89,ROUND(Supuestos!$F$12*IF(C$85&lt;=12,INDEX(Supuestos!$C$55:$C$66,C$85)+IF(C$85=1,Supuestos!$C$52,0),IF(C$85&lt;=24,Supuestos!$C$69,Supuestos!$C$70)*IFERROR(INDEX(Supuestos!$C$55:$C$66,MOD(C$85-1,12)+1)/AVERAGE(Supuestos!$C$55:$C$66),1)),0))))</f>
        <v>62</v>
      </c>
      <c r="D88" s="72">
        <f>MAX(0,MIN(ROUND(Supuestos!$F$12*IF(D$85&lt;=12,INDEX(Supuestos!$C$55:$C$66,D$85)+IF(D$85=1,Supuestos!$C$52,0),IF(D$85&lt;=24,Supuestos!$C$69,Supuestos!$C$70)*IFERROR(INDEX(Supuestos!$C$55:$C$66,MOD(D$85-1,12)+1)/AVERAGE(Supuestos!$C$55:$C$66),1)),0),IF(Supuestos!$C$72&gt;0,Supuestos!$C$72-D87+D89,ROUND(Supuestos!$F$12*IF(D$85&lt;=12,INDEX(Supuestos!$C$55:$C$66,D$85)+IF(D$85=1,Supuestos!$C$52,0),IF(D$85&lt;=24,Supuestos!$C$69,Supuestos!$C$70)*IFERROR(INDEX(Supuestos!$C$55:$C$66,MOD(D$85-1,12)+1)/AVERAGE(Supuestos!$C$55:$C$66),1)),0))))</f>
        <v>45</v>
      </c>
      <c r="E88" s="72">
        <f>MAX(0,MIN(ROUND(Supuestos!$F$12*IF(E$85&lt;=12,INDEX(Supuestos!$C$55:$C$66,E$85)+IF(E$85=1,Supuestos!$C$52,0),IF(E$85&lt;=24,Supuestos!$C$69,Supuestos!$C$70)*IFERROR(INDEX(Supuestos!$C$55:$C$66,MOD(E$85-1,12)+1)/AVERAGE(Supuestos!$C$55:$C$66),1)),0),IF(Supuestos!$C$72&gt;0,Supuestos!$C$72-E87+E89,ROUND(Supuestos!$F$12*IF(E$85&lt;=12,INDEX(Supuestos!$C$55:$C$66,E$85)+IF(E$85=1,Supuestos!$C$52,0),IF(E$85&lt;=24,Supuestos!$C$69,Supuestos!$C$70)*IFERROR(INDEX(Supuestos!$C$55:$C$66,MOD(E$85-1,12)+1)/AVERAGE(Supuestos!$C$55:$C$66),1)),0))))</f>
        <v>33</v>
      </c>
      <c r="F88" s="72">
        <f>MAX(0,MIN(ROUND(Supuestos!$F$12*IF(F$85&lt;=12,INDEX(Supuestos!$C$55:$C$66,F$85)+IF(F$85=1,Supuestos!$C$52,0),IF(F$85&lt;=24,Supuestos!$C$69,Supuestos!$C$70)*IFERROR(INDEX(Supuestos!$C$55:$C$66,MOD(F$85-1,12)+1)/AVERAGE(Supuestos!$C$55:$C$66),1)),0),IF(Supuestos!$C$72&gt;0,Supuestos!$C$72-F87+F89,ROUND(Supuestos!$F$12*IF(F$85&lt;=12,INDEX(Supuestos!$C$55:$C$66,F$85)+IF(F$85=1,Supuestos!$C$52,0),IF(F$85&lt;=24,Supuestos!$C$69,Supuestos!$C$70)*IFERROR(INDEX(Supuestos!$C$55:$C$66,MOD(F$85-1,12)+1)/AVERAGE(Supuestos!$C$55:$C$66),1)),0))))</f>
        <v>21</v>
      </c>
      <c r="G88" s="72">
        <f>MAX(0,MIN(ROUND(Supuestos!$F$12*IF(G$85&lt;=12,INDEX(Supuestos!$C$55:$C$66,G$85)+IF(G$85=1,Supuestos!$C$52,0),IF(G$85&lt;=24,Supuestos!$C$69,Supuestos!$C$70)*IFERROR(INDEX(Supuestos!$C$55:$C$66,MOD(G$85-1,12)+1)/AVERAGE(Supuestos!$C$55:$C$66),1)),0),IF(Supuestos!$C$72&gt;0,Supuestos!$C$72-G87+G89,ROUND(Supuestos!$F$12*IF(G$85&lt;=12,INDEX(Supuestos!$C$55:$C$66,G$85)+IF(G$85=1,Supuestos!$C$52,0),IF(G$85&lt;=24,Supuestos!$C$69,Supuestos!$C$70)*IFERROR(INDEX(Supuestos!$C$55:$C$66,MOD(G$85-1,12)+1)/AVERAGE(Supuestos!$C$55:$C$66),1)),0))))</f>
        <v>49</v>
      </c>
      <c r="H88" s="72">
        <f>MAX(0,MIN(ROUND(Supuestos!$F$12*IF(H$85&lt;=12,INDEX(Supuestos!$C$55:$C$66,H$85)+IF(H$85=1,Supuestos!$C$52,0),IF(H$85&lt;=24,Supuestos!$C$69,Supuestos!$C$70)*IFERROR(INDEX(Supuestos!$C$55:$C$66,MOD(H$85-1,12)+1)/AVERAGE(Supuestos!$C$55:$C$66),1)),0),IF(Supuestos!$C$72&gt;0,Supuestos!$C$72-H87+H89,ROUND(Supuestos!$F$12*IF(H$85&lt;=12,INDEX(Supuestos!$C$55:$C$66,H$85)+IF(H$85=1,Supuestos!$C$52,0),IF(H$85&lt;=24,Supuestos!$C$69,Supuestos!$C$70)*IFERROR(INDEX(Supuestos!$C$55:$C$66,MOD(H$85-1,12)+1)/AVERAGE(Supuestos!$C$55:$C$66),1)),0))))</f>
        <v>33</v>
      </c>
      <c r="I88" s="72">
        <f>MAX(0,MIN(ROUND(Supuestos!$F$12*IF(I$85&lt;=12,INDEX(Supuestos!$C$55:$C$66,I$85)+IF(I$85=1,Supuestos!$C$52,0),IF(I$85&lt;=24,Supuestos!$C$69,Supuestos!$C$70)*IFERROR(INDEX(Supuestos!$C$55:$C$66,MOD(I$85-1,12)+1)/AVERAGE(Supuestos!$C$55:$C$66),1)),0),IF(Supuestos!$C$72&gt;0,Supuestos!$C$72-I87+I89,ROUND(Supuestos!$F$12*IF(I$85&lt;=12,INDEX(Supuestos!$C$55:$C$66,I$85)+IF(I$85=1,Supuestos!$C$52,0),IF(I$85&lt;=24,Supuestos!$C$69,Supuestos!$C$70)*IFERROR(INDEX(Supuestos!$C$55:$C$66,MOD(I$85-1,12)+1)/AVERAGE(Supuestos!$C$55:$C$66),1)),0))))</f>
        <v>29</v>
      </c>
      <c r="J88" s="72">
        <f>MAX(0,MIN(ROUND(Supuestos!$F$12*IF(J$85&lt;=12,INDEX(Supuestos!$C$55:$C$66,J$85)+IF(J$85=1,Supuestos!$C$52,0),IF(J$85&lt;=24,Supuestos!$C$69,Supuestos!$C$70)*IFERROR(INDEX(Supuestos!$C$55:$C$66,MOD(J$85-1,12)+1)/AVERAGE(Supuestos!$C$55:$C$66),1)),0),IF(Supuestos!$C$72&gt;0,Supuestos!$C$72-J87+J89,ROUND(Supuestos!$F$12*IF(J$85&lt;=12,INDEX(Supuestos!$C$55:$C$66,J$85)+IF(J$85=1,Supuestos!$C$52,0),IF(J$85&lt;=24,Supuestos!$C$69,Supuestos!$C$70)*IFERROR(INDEX(Supuestos!$C$55:$C$66,MOD(J$85-1,12)+1)/AVERAGE(Supuestos!$C$55:$C$66),1)),0))))</f>
        <v>25</v>
      </c>
      <c r="K88" s="72">
        <f>MAX(0,MIN(ROUND(Supuestos!$F$12*IF(K$85&lt;=12,INDEX(Supuestos!$C$55:$C$66,K$85)+IF(K$85=1,Supuestos!$C$52,0),IF(K$85&lt;=24,Supuestos!$C$69,Supuestos!$C$70)*IFERROR(INDEX(Supuestos!$C$55:$C$66,MOD(K$85-1,12)+1)/AVERAGE(Supuestos!$C$55:$C$66),1)),0),IF(Supuestos!$C$72&gt;0,Supuestos!$C$72-K87+K89,ROUND(Supuestos!$F$12*IF(K$85&lt;=12,INDEX(Supuestos!$C$55:$C$66,K$85)+IF(K$85=1,Supuestos!$C$52,0),IF(K$85&lt;=24,Supuestos!$C$69,Supuestos!$C$70)*IFERROR(INDEX(Supuestos!$C$55:$C$66,MOD(K$85-1,12)+1)/AVERAGE(Supuestos!$C$55:$C$66),1)),0))))</f>
        <v>25</v>
      </c>
      <c r="L88" s="72">
        <f>MAX(0,MIN(ROUND(Supuestos!$F$12*IF(L$85&lt;=12,INDEX(Supuestos!$C$55:$C$66,L$85)+IF(L$85=1,Supuestos!$C$52,0),IF(L$85&lt;=24,Supuestos!$C$69,Supuestos!$C$70)*IFERROR(INDEX(Supuestos!$C$55:$C$66,MOD(L$85-1,12)+1)/AVERAGE(Supuestos!$C$55:$C$66),1)),0),IF(Supuestos!$C$72&gt;0,Supuestos!$C$72-L87+L89,ROUND(Supuestos!$F$12*IF(L$85&lt;=12,INDEX(Supuestos!$C$55:$C$66,L$85)+IF(L$85=1,Supuestos!$C$52,0),IF(L$85&lt;=24,Supuestos!$C$69,Supuestos!$C$70)*IFERROR(INDEX(Supuestos!$C$55:$C$66,MOD(L$85-1,12)+1)/AVERAGE(Supuestos!$C$55:$C$66),1)),0))))</f>
        <v>18</v>
      </c>
      <c r="M88" s="72">
        <f>MAX(0,MIN(ROUND(Supuestos!$F$12*IF(M$85&lt;=12,INDEX(Supuestos!$C$55:$C$66,M$85)+IF(M$85=1,Supuestos!$C$52,0),IF(M$85&lt;=24,Supuestos!$C$69,Supuestos!$C$70)*IFERROR(INDEX(Supuestos!$C$55:$C$66,MOD(M$85-1,12)+1)/AVERAGE(Supuestos!$C$55:$C$66),1)),0),IF(Supuestos!$C$72&gt;0,Supuestos!$C$72-M87+M89,ROUND(Supuestos!$F$12*IF(M$85&lt;=12,INDEX(Supuestos!$C$55:$C$66,M$85)+IF(M$85=1,Supuestos!$C$52,0),IF(M$85&lt;=24,Supuestos!$C$69,Supuestos!$C$70)*IFERROR(INDEX(Supuestos!$C$55:$C$66,MOD(M$85-1,12)+1)/AVERAGE(Supuestos!$C$55:$C$66),1)),0))))</f>
        <v>12</v>
      </c>
      <c r="N88" s="72">
        <f>MAX(0,MIN(ROUND(Supuestos!$F$12*IF(N$85&lt;=12,INDEX(Supuestos!$C$55:$C$66,N$85)+IF(N$85=1,Supuestos!$C$52,0),IF(N$85&lt;=24,Supuestos!$C$69,Supuestos!$C$70)*IFERROR(INDEX(Supuestos!$C$55:$C$66,MOD(N$85-1,12)+1)/AVERAGE(Supuestos!$C$55:$C$66),1)),0),IF(Supuestos!$C$72&gt;0,Supuestos!$C$72-N87+N89,ROUND(Supuestos!$F$12*IF(N$85&lt;=12,INDEX(Supuestos!$C$55:$C$66,N$85)+IF(N$85=1,Supuestos!$C$52,0),IF(N$85&lt;=24,Supuestos!$C$69,Supuestos!$C$70)*IFERROR(INDEX(Supuestos!$C$55:$C$66,MOD(N$85-1,12)+1)/AVERAGE(Supuestos!$C$55:$C$66),1)),0))))</f>
        <v>10</v>
      </c>
      <c r="O88" s="73">
        <f>SUM(C88:N88)</f>
        <v>362</v>
      </c>
    </row>
    <row r="89" spans="2:15" x14ac:dyDescent="0.2">
      <c r="B89" s="7" t="s">
        <v>223</v>
      </c>
      <c r="C89" s="72">
        <f>MIN(C87,ROUND(C87*Supuestos!$C$71*Supuestos!$F$13,0))</f>
        <v>23</v>
      </c>
      <c r="D89" s="72">
        <f>MIN(D87,ROUND(D87*Supuestos!$C$71*Supuestos!$F$13,0))</f>
        <v>25</v>
      </c>
      <c r="E89" s="72">
        <f>MIN(E87,ROUND(E87*Supuestos!$C$71*Supuestos!$F$13,0))</f>
        <v>25</v>
      </c>
      <c r="F89" s="72">
        <f>MIN(F87,ROUND(F87*Supuestos!$C$71*Supuestos!$F$13,0))</f>
        <v>26</v>
      </c>
      <c r="G89" s="72">
        <f>MIN(G87,ROUND(G87*Supuestos!$C$71*Supuestos!$F$13,0))</f>
        <v>25</v>
      </c>
      <c r="H89" s="72">
        <f>MIN(H87,ROUND(H87*Supuestos!$C$71*Supuestos!$F$13,0))</f>
        <v>26</v>
      </c>
      <c r="I89" s="72">
        <f>MIN(I87,ROUND(I87*Supuestos!$C$71*Supuestos!$F$13,0))</f>
        <v>27</v>
      </c>
      <c r="J89" s="72">
        <f>MIN(J87,ROUND(J87*Supuestos!$C$71*Supuestos!$F$13,0))</f>
        <v>27</v>
      </c>
      <c r="K89" s="72">
        <f>MIN(K87,ROUND(K87*Supuestos!$C$71*Supuestos!$F$13,0))</f>
        <v>27</v>
      </c>
      <c r="L89" s="72">
        <f>MIN(L87,ROUND(L87*Supuestos!$C$71*Supuestos!$F$13,0))</f>
        <v>27</v>
      </c>
      <c r="M89" s="72">
        <f>MIN(M87,ROUND(M87*Supuestos!$C$71*Supuestos!$F$13,0))</f>
        <v>26</v>
      </c>
      <c r="N89" s="72">
        <f>MIN(N87,ROUND(N87*Supuestos!$C$71*Supuestos!$F$13,0))</f>
        <v>26</v>
      </c>
      <c r="O89" s="73">
        <f>SUM(C89:N89)</f>
        <v>310</v>
      </c>
    </row>
    <row r="90" spans="2:15" x14ac:dyDescent="0.2">
      <c r="B90" s="65" t="s">
        <v>224</v>
      </c>
      <c r="C90" s="74">
        <f t="shared" ref="C90:N90" si="23">C87+C88-C89</f>
        <v>613</v>
      </c>
      <c r="D90" s="74">
        <f t="shared" si="23"/>
        <v>633</v>
      </c>
      <c r="E90" s="74">
        <f t="shared" si="23"/>
        <v>641</v>
      </c>
      <c r="F90" s="74">
        <f t="shared" si="23"/>
        <v>636</v>
      </c>
      <c r="G90" s="74">
        <f t="shared" si="23"/>
        <v>660</v>
      </c>
      <c r="H90" s="74">
        <f t="shared" si="23"/>
        <v>667</v>
      </c>
      <c r="I90" s="74">
        <f t="shared" si="23"/>
        <v>669</v>
      </c>
      <c r="J90" s="74">
        <f t="shared" si="23"/>
        <v>667</v>
      </c>
      <c r="K90" s="74">
        <f t="shared" si="23"/>
        <v>665</v>
      </c>
      <c r="L90" s="74">
        <f t="shared" si="23"/>
        <v>656</v>
      </c>
      <c r="M90" s="74">
        <f t="shared" si="23"/>
        <v>642</v>
      </c>
      <c r="N90" s="74">
        <f t="shared" si="23"/>
        <v>626</v>
      </c>
      <c r="O90" s="73">
        <f>N90</f>
        <v>626</v>
      </c>
    </row>
    <row r="91" spans="2:15" ht="18" customHeight="1" x14ac:dyDescent="0.2">
      <c r="B91" s="71" t="s">
        <v>225</v>
      </c>
    </row>
    <row r="92" spans="2:15" x14ac:dyDescent="0.2">
      <c r="B92" s="7" t="s">
        <v>226</v>
      </c>
      <c r="C92" s="59">
        <f>C90*Supuestos!$C$45*Supuestos!$F$14*(1+Supuestos!$C$112)^INT((C$85-1)/12)</f>
        <v>23659.200879999997</v>
      </c>
      <c r="D92" s="59">
        <f>D90*Supuestos!$C$45*Supuestos!$F$14*(1+Supuestos!$C$112)^INT((D$85-1)/12)</f>
        <v>24431.116079999996</v>
      </c>
      <c r="E92" s="59">
        <f>E90*Supuestos!$C$45*Supuestos!$F$14*(1+Supuestos!$C$112)^INT((E$85-1)/12)</f>
        <v>24739.882159999997</v>
      </c>
      <c r="F92" s="59">
        <f>F90*Supuestos!$C$45*Supuestos!$F$14*(1+Supuestos!$C$112)^INT((F$85-1)/12)</f>
        <v>24546.903359999997</v>
      </c>
      <c r="G92" s="59">
        <f>G90*Supuestos!$C$45*Supuestos!$F$14*(1+Supuestos!$C$112)^INT((G$85-1)/12)</f>
        <v>25473.201599999997</v>
      </c>
      <c r="H92" s="59">
        <f>H90*Supuestos!$C$45*Supuestos!$F$14*(1+Supuestos!$C$112)^INT((H$85-1)/12)</f>
        <v>25743.371919999994</v>
      </c>
      <c r="I92" s="59">
        <f>I90*Supuestos!$C$45*Supuestos!$F$14*(1+Supuestos!$C$112)^INT((I$85-1)/12)</f>
        <v>25820.563439999994</v>
      </c>
      <c r="J92" s="59">
        <f>J90*Supuestos!$C$45*Supuestos!$F$14*(1+Supuestos!$C$112)^INT((J$85-1)/12)</f>
        <v>25743.371919999994</v>
      </c>
      <c r="K92" s="59">
        <f>K90*Supuestos!$C$45*Supuestos!$F$14*(1+Supuestos!$C$112)^INT((K$85-1)/12)</f>
        <v>25666.180399999997</v>
      </c>
      <c r="L92" s="59">
        <f>L90*Supuestos!$C$45*Supuestos!$F$14*(1+Supuestos!$C$112)^INT((L$85-1)/12)</f>
        <v>25318.818559999996</v>
      </c>
      <c r="M92" s="59">
        <f>M90*Supuestos!$C$45*Supuestos!$F$14*(1+Supuestos!$C$112)^INT((M$85-1)/12)</f>
        <v>24778.477919999998</v>
      </c>
      <c r="N92" s="59">
        <f>N90*Supuestos!$C$45*Supuestos!$F$14*(1+Supuestos!$C$112)^INT((N$85-1)/12)</f>
        <v>24160.945759999995</v>
      </c>
      <c r="O92" s="75">
        <f>SUM(C92:N92)</f>
        <v>300082.03399999993</v>
      </c>
    </row>
    <row r="93" spans="2:15" x14ac:dyDescent="0.2">
      <c r="B93" s="7" t="s">
        <v>227</v>
      </c>
      <c r="C93" s="59">
        <f>C88*Supuestos!$C$47*(1+Supuestos!$C$112)^INT((C$85-1)/12)</f>
        <v>1302.7749999999999</v>
      </c>
      <c r="D93" s="59">
        <f>D88*Supuestos!$C$47*(1+Supuestos!$C$112)^INT((D$85-1)/12)</f>
        <v>945.56249999999989</v>
      </c>
      <c r="E93" s="59">
        <f>E88*Supuestos!$C$47*(1+Supuestos!$C$112)^INT((E$85-1)/12)</f>
        <v>693.41249999999991</v>
      </c>
      <c r="F93" s="59">
        <f>F88*Supuestos!$C$47*(1+Supuestos!$C$112)^INT((F$85-1)/12)</f>
        <v>441.26249999999999</v>
      </c>
      <c r="G93" s="59">
        <f>G88*Supuestos!$C$47*(1+Supuestos!$C$112)^INT((G$85-1)/12)</f>
        <v>1029.6125</v>
      </c>
      <c r="H93" s="59">
        <f>H88*Supuestos!$C$47*(1+Supuestos!$C$112)^INT((H$85-1)/12)</f>
        <v>693.41249999999991</v>
      </c>
      <c r="I93" s="59">
        <f>I88*Supuestos!$C$47*(1+Supuestos!$C$112)^INT((I$85-1)/12)</f>
        <v>609.36249999999995</v>
      </c>
      <c r="J93" s="59">
        <f>J88*Supuestos!$C$47*(1+Supuestos!$C$112)^INT((J$85-1)/12)</f>
        <v>525.3125</v>
      </c>
      <c r="K93" s="59">
        <f>K88*Supuestos!$C$47*(1+Supuestos!$C$112)^INT((K$85-1)/12)</f>
        <v>525.3125</v>
      </c>
      <c r="L93" s="59">
        <f>L88*Supuestos!$C$47*(1+Supuestos!$C$112)^INT((L$85-1)/12)</f>
        <v>378.22499999999997</v>
      </c>
      <c r="M93" s="59">
        <f>M88*Supuestos!$C$47*(1+Supuestos!$C$112)^INT((M$85-1)/12)</f>
        <v>252.14999999999998</v>
      </c>
      <c r="N93" s="59">
        <f>N88*Supuestos!$C$47*(1+Supuestos!$C$112)^INT((N$85-1)/12)</f>
        <v>210.12499999999997</v>
      </c>
      <c r="O93" s="75">
        <f>SUM(C93:N93)</f>
        <v>7606.5249999999987</v>
      </c>
    </row>
    <row r="94" spans="2:15" x14ac:dyDescent="0.2">
      <c r="B94" s="7" t="s">
        <v>228</v>
      </c>
      <c r="C94" s="59">
        <f>C90*(Supuestos!$C$48+Supuestos!$C$49)*(1+Supuestos!$C$112)^INT((C$85-1)/12)</f>
        <v>3542.1821874999996</v>
      </c>
      <c r="D94" s="59">
        <f>D90*(Supuestos!$C$48+Supuestos!$C$49)*(1+Supuestos!$C$112)^INT((D$85-1)/12)</f>
        <v>3657.7509374999995</v>
      </c>
      <c r="E94" s="59">
        <f>E90*(Supuestos!$C$48+Supuestos!$C$49)*(1+Supuestos!$C$112)^INT((E$85-1)/12)</f>
        <v>3703.9784374999999</v>
      </c>
      <c r="F94" s="59">
        <f>F90*(Supuestos!$C$48+Supuestos!$C$49)*(1+Supuestos!$C$112)^INT((F$85-1)/12)</f>
        <v>3675.0862499999998</v>
      </c>
      <c r="G94" s="59">
        <f>G90*(Supuestos!$C$48+Supuestos!$C$49)*(1+Supuestos!$C$112)^INT((G$85-1)/12)</f>
        <v>3813.7687499999997</v>
      </c>
      <c r="H94" s="59">
        <f>H90*(Supuestos!$C$48+Supuestos!$C$49)*(1+Supuestos!$C$112)^INT((H$85-1)/12)</f>
        <v>3854.2178124999996</v>
      </c>
      <c r="I94" s="59">
        <f>I90*(Supuestos!$C$48+Supuestos!$C$49)*(1+Supuestos!$C$112)^INT((I$85-1)/12)</f>
        <v>3865.7746874999998</v>
      </c>
      <c r="J94" s="59">
        <f>J90*(Supuestos!$C$48+Supuestos!$C$49)*(1+Supuestos!$C$112)^INT((J$85-1)/12)</f>
        <v>3854.2178124999996</v>
      </c>
      <c r="K94" s="59">
        <f>K90*(Supuestos!$C$48+Supuestos!$C$49)*(1+Supuestos!$C$112)^INT((K$85-1)/12)</f>
        <v>3842.6609374999998</v>
      </c>
      <c r="L94" s="59">
        <f>L90*(Supuestos!$C$48+Supuestos!$C$49)*(1+Supuestos!$C$112)^INT((L$85-1)/12)</f>
        <v>3790.6549999999997</v>
      </c>
      <c r="M94" s="59">
        <f>M90*(Supuestos!$C$48+Supuestos!$C$49)*(1+Supuestos!$C$112)^INT((M$85-1)/12)</f>
        <v>3709.7568749999996</v>
      </c>
      <c r="N94" s="59">
        <f>N90*(Supuestos!$C$48+Supuestos!$C$49)*(1+Supuestos!$C$112)^INT((N$85-1)/12)</f>
        <v>3617.3018749999997</v>
      </c>
      <c r="O94" s="75">
        <f>SUM(C94:N94)</f>
        <v>44927.351562499993</v>
      </c>
    </row>
    <row r="95" spans="2:15" x14ac:dyDescent="0.2">
      <c r="B95" s="65" t="s">
        <v>229</v>
      </c>
      <c r="C95" s="76">
        <f t="shared" ref="C95:N95" si="24">SUM(C92:C94)</f>
        <v>28504.158067499997</v>
      </c>
      <c r="D95" s="76">
        <f t="shared" si="24"/>
        <v>29034.429517499997</v>
      </c>
      <c r="E95" s="76">
        <f t="shared" si="24"/>
        <v>29137.273097499994</v>
      </c>
      <c r="F95" s="76">
        <f t="shared" si="24"/>
        <v>28663.252109999998</v>
      </c>
      <c r="G95" s="76">
        <f t="shared" si="24"/>
        <v>30316.582849999995</v>
      </c>
      <c r="H95" s="76">
        <f t="shared" si="24"/>
        <v>30291.002232499992</v>
      </c>
      <c r="I95" s="76">
        <f t="shared" si="24"/>
        <v>30295.700627499995</v>
      </c>
      <c r="J95" s="76">
        <f t="shared" si="24"/>
        <v>30122.902232499993</v>
      </c>
      <c r="K95" s="76">
        <f t="shared" si="24"/>
        <v>30034.153837499998</v>
      </c>
      <c r="L95" s="76">
        <f t="shared" si="24"/>
        <v>29487.698559999993</v>
      </c>
      <c r="M95" s="76">
        <f t="shared" si="24"/>
        <v>28740.384794999998</v>
      </c>
      <c r="N95" s="76">
        <f t="shared" si="24"/>
        <v>27988.372634999996</v>
      </c>
      <c r="O95" s="75">
        <f>SUM(C95:N95)</f>
        <v>352615.91056249995</v>
      </c>
    </row>
    <row r="96" spans="2:15" ht="18" customHeight="1" x14ac:dyDescent="0.2">
      <c r="B96" s="71" t="s">
        <v>230</v>
      </c>
    </row>
    <row r="97" spans="2:15" x14ac:dyDescent="0.2">
      <c r="B97" s="7" t="s">
        <v>231</v>
      </c>
      <c r="C97" s="59">
        <f>Supuestos!$G$83*(1+Supuestos!$C$113)^INT((C$85-1)/12)</f>
        <v>9335.92</v>
      </c>
      <c r="D97" s="59">
        <f>Supuestos!$G$83*(1+Supuestos!$C$113)^INT((D$85-1)/12)</f>
        <v>9335.92</v>
      </c>
      <c r="E97" s="59">
        <f>Supuestos!$G$83*(1+Supuestos!$C$113)^INT((E$85-1)/12)</f>
        <v>9335.92</v>
      </c>
      <c r="F97" s="59">
        <f>Supuestos!$G$83*(1+Supuestos!$C$113)^INT((F$85-1)/12)</f>
        <v>9335.92</v>
      </c>
      <c r="G97" s="59">
        <f>Supuestos!$G$83*(1+Supuestos!$C$113)^INT((G$85-1)/12)</f>
        <v>9335.92</v>
      </c>
      <c r="H97" s="59">
        <f>Supuestos!$G$83*(1+Supuestos!$C$113)^INT((H$85-1)/12)</f>
        <v>9335.92</v>
      </c>
      <c r="I97" s="59">
        <f>Supuestos!$G$83*(1+Supuestos!$C$113)^INT((I$85-1)/12)</f>
        <v>9335.92</v>
      </c>
      <c r="J97" s="59">
        <f>Supuestos!$G$83*(1+Supuestos!$C$113)^INT((J$85-1)/12)</f>
        <v>9335.92</v>
      </c>
      <c r="K97" s="59">
        <f>Supuestos!$G$83*(1+Supuestos!$C$113)^INT((K$85-1)/12)</f>
        <v>9335.92</v>
      </c>
      <c r="L97" s="59">
        <f>Supuestos!$G$83*(1+Supuestos!$C$113)^INT((L$85-1)/12)</f>
        <v>9335.92</v>
      </c>
      <c r="M97" s="59">
        <f>Supuestos!$G$83*(1+Supuestos!$C$113)^INT((M$85-1)/12)</f>
        <v>9335.92</v>
      </c>
      <c r="N97" s="59">
        <f>Supuestos!$G$83*(1+Supuestos!$C$113)^INT((N$85-1)/12)</f>
        <v>9335.92</v>
      </c>
      <c r="O97" s="75">
        <f t="shared" ref="O97:O107" si="25">SUM(C97:N97)</f>
        <v>112031.03999999999</v>
      </c>
    </row>
    <row r="98" spans="2:15" x14ac:dyDescent="0.2">
      <c r="B98" s="7" t="s">
        <v>147</v>
      </c>
      <c r="C98" s="59">
        <f>Supuestos!$C$86*(1+Supuestos!$C$113)^INT((C$85-1)/12)</f>
        <v>3819.24</v>
      </c>
      <c r="D98" s="59">
        <f>Supuestos!$C$86*(1+Supuestos!$C$113)^INT((D$85-1)/12)</f>
        <v>3819.24</v>
      </c>
      <c r="E98" s="59">
        <f>Supuestos!$C$86*(1+Supuestos!$C$113)^INT((E$85-1)/12)</f>
        <v>3819.24</v>
      </c>
      <c r="F98" s="59">
        <f>Supuestos!$C$86*(1+Supuestos!$C$113)^INT((F$85-1)/12)</f>
        <v>3819.24</v>
      </c>
      <c r="G98" s="59">
        <f>Supuestos!$C$86*(1+Supuestos!$C$113)^INT((G$85-1)/12)</f>
        <v>3819.24</v>
      </c>
      <c r="H98" s="59">
        <f>Supuestos!$C$86*(1+Supuestos!$C$113)^INT((H$85-1)/12)</f>
        <v>3819.24</v>
      </c>
      <c r="I98" s="59">
        <f>Supuestos!$C$86*(1+Supuestos!$C$113)^INT((I$85-1)/12)</f>
        <v>3819.24</v>
      </c>
      <c r="J98" s="59">
        <f>Supuestos!$C$86*(1+Supuestos!$C$113)^INT((J$85-1)/12)</f>
        <v>3819.24</v>
      </c>
      <c r="K98" s="59">
        <f>Supuestos!$C$86*(1+Supuestos!$C$113)^INT((K$85-1)/12)</f>
        <v>3819.24</v>
      </c>
      <c r="L98" s="59">
        <f>Supuestos!$C$86*(1+Supuestos!$C$113)^INT((L$85-1)/12)</f>
        <v>3819.24</v>
      </c>
      <c r="M98" s="59">
        <f>Supuestos!$C$86*(1+Supuestos!$C$113)^INT((M$85-1)/12)</f>
        <v>3819.24</v>
      </c>
      <c r="N98" s="59">
        <f>Supuestos!$C$86*(1+Supuestos!$C$113)^INT((N$85-1)/12)</f>
        <v>3819.24</v>
      </c>
      <c r="O98" s="75">
        <f t="shared" si="25"/>
        <v>45830.879999999983</v>
      </c>
    </row>
    <row r="99" spans="2:15" x14ac:dyDescent="0.2">
      <c r="B99" s="7" t="s">
        <v>232</v>
      </c>
      <c r="C99" s="59">
        <f>Supuestos!$C$87*(1+Supuestos!$C$113)^INT((C$85-1)/12)</f>
        <v>1591.35</v>
      </c>
      <c r="D99" s="59">
        <f>Supuestos!$C$87*(1+Supuestos!$C$113)^INT((D$85-1)/12)</f>
        <v>1591.35</v>
      </c>
      <c r="E99" s="59">
        <f>Supuestos!$C$87*(1+Supuestos!$C$113)^INT((E$85-1)/12)</f>
        <v>1591.35</v>
      </c>
      <c r="F99" s="59">
        <f>Supuestos!$C$87*(1+Supuestos!$C$113)^INT((F$85-1)/12)</f>
        <v>1591.35</v>
      </c>
      <c r="G99" s="59">
        <f>Supuestos!$C$87*(1+Supuestos!$C$113)^INT((G$85-1)/12)</f>
        <v>1591.35</v>
      </c>
      <c r="H99" s="59">
        <f>Supuestos!$C$87*(1+Supuestos!$C$113)^INT((H$85-1)/12)</f>
        <v>1591.35</v>
      </c>
      <c r="I99" s="59">
        <f>Supuestos!$C$87*(1+Supuestos!$C$113)^INT((I$85-1)/12)</f>
        <v>1591.35</v>
      </c>
      <c r="J99" s="59">
        <f>Supuestos!$C$87*(1+Supuestos!$C$113)^INT((J$85-1)/12)</f>
        <v>1591.35</v>
      </c>
      <c r="K99" s="59">
        <f>Supuestos!$C$87*(1+Supuestos!$C$113)^INT((K$85-1)/12)</f>
        <v>1591.35</v>
      </c>
      <c r="L99" s="59">
        <f>Supuestos!$C$87*(1+Supuestos!$C$113)^INT((L$85-1)/12)</f>
        <v>1591.35</v>
      </c>
      <c r="M99" s="59">
        <f>Supuestos!$C$87*(1+Supuestos!$C$113)^INT((M$85-1)/12)</f>
        <v>1591.35</v>
      </c>
      <c r="N99" s="59">
        <f>Supuestos!$C$87*(1+Supuestos!$C$113)^INT((N$85-1)/12)</f>
        <v>1591.35</v>
      </c>
      <c r="O99" s="75">
        <f t="shared" si="25"/>
        <v>19096.2</v>
      </c>
    </row>
    <row r="100" spans="2:15" x14ac:dyDescent="0.2">
      <c r="B100" s="7" t="s">
        <v>233</v>
      </c>
      <c r="C100" s="59">
        <f>Supuestos!$C$88*(1+Supuestos!$C$113)^INT((C$85-1)/12)</f>
        <v>159.13499999999999</v>
      </c>
      <c r="D100" s="59">
        <f>Supuestos!$C$88*(1+Supuestos!$C$113)^INT((D$85-1)/12)</f>
        <v>159.13499999999999</v>
      </c>
      <c r="E100" s="59">
        <f>Supuestos!$C$88*(1+Supuestos!$C$113)^INT((E$85-1)/12)</f>
        <v>159.13499999999999</v>
      </c>
      <c r="F100" s="59">
        <f>Supuestos!$C$88*(1+Supuestos!$C$113)^INT((F$85-1)/12)</f>
        <v>159.13499999999999</v>
      </c>
      <c r="G100" s="59">
        <f>Supuestos!$C$88*(1+Supuestos!$C$113)^INT((G$85-1)/12)</f>
        <v>159.13499999999999</v>
      </c>
      <c r="H100" s="59">
        <f>Supuestos!$C$88*(1+Supuestos!$C$113)^INT((H$85-1)/12)</f>
        <v>159.13499999999999</v>
      </c>
      <c r="I100" s="59">
        <f>Supuestos!$C$88*(1+Supuestos!$C$113)^INT((I$85-1)/12)</f>
        <v>159.13499999999999</v>
      </c>
      <c r="J100" s="59">
        <f>Supuestos!$C$88*(1+Supuestos!$C$113)^INT((J$85-1)/12)</f>
        <v>159.13499999999999</v>
      </c>
      <c r="K100" s="59">
        <f>Supuestos!$C$88*(1+Supuestos!$C$113)^INT((K$85-1)/12)</f>
        <v>159.13499999999999</v>
      </c>
      <c r="L100" s="59">
        <f>Supuestos!$C$88*(1+Supuestos!$C$113)^INT((L$85-1)/12)</f>
        <v>159.13499999999999</v>
      </c>
      <c r="M100" s="59">
        <f>Supuestos!$C$88*(1+Supuestos!$C$113)^INT((M$85-1)/12)</f>
        <v>159.13499999999999</v>
      </c>
      <c r="N100" s="59">
        <f>Supuestos!$C$88*(1+Supuestos!$C$113)^INT((N$85-1)/12)</f>
        <v>159.13499999999999</v>
      </c>
      <c r="O100" s="75">
        <f t="shared" si="25"/>
        <v>1909.62</v>
      </c>
    </row>
    <row r="101" spans="2:15" x14ac:dyDescent="0.2">
      <c r="B101" s="7" t="s">
        <v>153</v>
      </c>
      <c r="C101" s="59">
        <f>Supuestos!$C$89*(1+Supuestos!$C$113)^INT((C$85-1)/12)</f>
        <v>190.96199999999999</v>
      </c>
      <c r="D101" s="59">
        <f>Supuestos!$C$89*(1+Supuestos!$C$113)^INT((D$85-1)/12)</f>
        <v>190.96199999999999</v>
      </c>
      <c r="E101" s="59">
        <f>Supuestos!$C$89*(1+Supuestos!$C$113)^INT((E$85-1)/12)</f>
        <v>190.96199999999999</v>
      </c>
      <c r="F101" s="59">
        <f>Supuestos!$C$89*(1+Supuestos!$C$113)^INT((F$85-1)/12)</f>
        <v>190.96199999999999</v>
      </c>
      <c r="G101" s="59">
        <f>Supuestos!$C$89*(1+Supuestos!$C$113)^INT((G$85-1)/12)</f>
        <v>190.96199999999999</v>
      </c>
      <c r="H101" s="59">
        <f>Supuestos!$C$89*(1+Supuestos!$C$113)^INT((H$85-1)/12)</f>
        <v>190.96199999999999</v>
      </c>
      <c r="I101" s="59">
        <f>Supuestos!$C$89*(1+Supuestos!$C$113)^INT((I$85-1)/12)</f>
        <v>190.96199999999999</v>
      </c>
      <c r="J101" s="59">
        <f>Supuestos!$C$89*(1+Supuestos!$C$113)^INT((J$85-1)/12)</f>
        <v>190.96199999999999</v>
      </c>
      <c r="K101" s="59">
        <f>Supuestos!$C$89*(1+Supuestos!$C$113)^INT((K$85-1)/12)</f>
        <v>190.96199999999999</v>
      </c>
      <c r="L101" s="59">
        <f>Supuestos!$C$89*(1+Supuestos!$C$113)^INT((L$85-1)/12)</f>
        <v>190.96199999999999</v>
      </c>
      <c r="M101" s="59">
        <f>Supuestos!$C$89*(1+Supuestos!$C$113)^INT((M$85-1)/12)</f>
        <v>190.96199999999999</v>
      </c>
      <c r="N101" s="59">
        <f>Supuestos!$C$89*(1+Supuestos!$C$113)^INT((N$85-1)/12)</f>
        <v>190.96199999999999</v>
      </c>
      <c r="O101" s="75">
        <f t="shared" si="25"/>
        <v>2291.5439999999999</v>
      </c>
    </row>
    <row r="102" spans="2:15" x14ac:dyDescent="0.2">
      <c r="B102" s="7" t="s">
        <v>155</v>
      </c>
      <c r="C102" s="59">
        <f>Supuestos!$C$90*(1+Supuestos!$C$113)^INT((C$85-1)/12)</f>
        <v>424.35999999999996</v>
      </c>
      <c r="D102" s="59">
        <f>Supuestos!$C$90*(1+Supuestos!$C$113)^INT((D$85-1)/12)</f>
        <v>424.35999999999996</v>
      </c>
      <c r="E102" s="59">
        <f>Supuestos!$C$90*(1+Supuestos!$C$113)^INT((E$85-1)/12)</f>
        <v>424.35999999999996</v>
      </c>
      <c r="F102" s="59">
        <f>Supuestos!$C$90*(1+Supuestos!$C$113)^INT((F$85-1)/12)</f>
        <v>424.35999999999996</v>
      </c>
      <c r="G102" s="59">
        <f>Supuestos!$C$90*(1+Supuestos!$C$113)^INT((G$85-1)/12)</f>
        <v>424.35999999999996</v>
      </c>
      <c r="H102" s="59">
        <f>Supuestos!$C$90*(1+Supuestos!$C$113)^INT((H$85-1)/12)</f>
        <v>424.35999999999996</v>
      </c>
      <c r="I102" s="59">
        <f>Supuestos!$C$90*(1+Supuestos!$C$113)^INT((I$85-1)/12)</f>
        <v>424.35999999999996</v>
      </c>
      <c r="J102" s="59">
        <f>Supuestos!$C$90*(1+Supuestos!$C$113)^INT((J$85-1)/12)</f>
        <v>424.35999999999996</v>
      </c>
      <c r="K102" s="59">
        <f>Supuestos!$C$90*(1+Supuestos!$C$113)^INT((K$85-1)/12)</f>
        <v>424.35999999999996</v>
      </c>
      <c r="L102" s="59">
        <f>Supuestos!$C$90*(1+Supuestos!$C$113)^INT((L$85-1)/12)</f>
        <v>424.35999999999996</v>
      </c>
      <c r="M102" s="59">
        <f>Supuestos!$C$90*(1+Supuestos!$C$113)^INT((M$85-1)/12)</f>
        <v>424.35999999999996</v>
      </c>
      <c r="N102" s="59">
        <f>Supuestos!$C$90*(1+Supuestos!$C$113)^INT((N$85-1)/12)</f>
        <v>424.35999999999996</v>
      </c>
      <c r="O102" s="75">
        <f t="shared" si="25"/>
        <v>5092.32</v>
      </c>
    </row>
    <row r="103" spans="2:15" x14ac:dyDescent="0.2">
      <c r="B103" s="7" t="s">
        <v>157</v>
      </c>
      <c r="C103" s="59">
        <f>Supuestos!$C$91*(1+Supuestos!$C$113)^INT((C$85-1)/12)</f>
        <v>1166.99</v>
      </c>
      <c r="D103" s="59">
        <f>Supuestos!$C$91*(1+Supuestos!$C$113)^INT((D$85-1)/12)</f>
        <v>1166.99</v>
      </c>
      <c r="E103" s="59">
        <f>Supuestos!$C$91*(1+Supuestos!$C$113)^INT((E$85-1)/12)</f>
        <v>1166.99</v>
      </c>
      <c r="F103" s="59">
        <f>Supuestos!$C$91*(1+Supuestos!$C$113)^INT((F$85-1)/12)</f>
        <v>1166.99</v>
      </c>
      <c r="G103" s="59">
        <f>Supuestos!$C$91*(1+Supuestos!$C$113)^INT((G$85-1)/12)</f>
        <v>1166.99</v>
      </c>
      <c r="H103" s="59">
        <f>Supuestos!$C$91*(1+Supuestos!$C$113)^INT((H$85-1)/12)</f>
        <v>1166.99</v>
      </c>
      <c r="I103" s="59">
        <f>Supuestos!$C$91*(1+Supuestos!$C$113)^INT((I$85-1)/12)</f>
        <v>1166.99</v>
      </c>
      <c r="J103" s="59">
        <f>Supuestos!$C$91*(1+Supuestos!$C$113)^INT((J$85-1)/12)</f>
        <v>1166.99</v>
      </c>
      <c r="K103" s="59">
        <f>Supuestos!$C$91*(1+Supuestos!$C$113)^INT((K$85-1)/12)</f>
        <v>1166.99</v>
      </c>
      <c r="L103" s="59">
        <f>Supuestos!$C$91*(1+Supuestos!$C$113)^INT((L$85-1)/12)</f>
        <v>1166.99</v>
      </c>
      <c r="M103" s="59">
        <f>Supuestos!$C$91*(1+Supuestos!$C$113)^INT((M$85-1)/12)</f>
        <v>1166.99</v>
      </c>
      <c r="N103" s="59">
        <f>Supuestos!$C$91*(1+Supuestos!$C$113)^INT((N$85-1)/12)</f>
        <v>1166.99</v>
      </c>
      <c r="O103" s="75">
        <f t="shared" si="25"/>
        <v>14003.88</v>
      </c>
    </row>
    <row r="104" spans="2:15" x14ac:dyDescent="0.2">
      <c r="B104" s="7" t="s">
        <v>159</v>
      </c>
      <c r="C104" s="59">
        <f>Supuestos!$C$92*(1+Supuestos!$C$113)^INT((C$85-1)/12)</f>
        <v>318.27</v>
      </c>
      <c r="D104" s="59">
        <f>Supuestos!$C$92*(1+Supuestos!$C$113)^INT((D$85-1)/12)</f>
        <v>318.27</v>
      </c>
      <c r="E104" s="59">
        <f>Supuestos!$C$92*(1+Supuestos!$C$113)^INT((E$85-1)/12)</f>
        <v>318.27</v>
      </c>
      <c r="F104" s="59">
        <f>Supuestos!$C$92*(1+Supuestos!$C$113)^INT((F$85-1)/12)</f>
        <v>318.27</v>
      </c>
      <c r="G104" s="59">
        <f>Supuestos!$C$92*(1+Supuestos!$C$113)^INT((G$85-1)/12)</f>
        <v>318.27</v>
      </c>
      <c r="H104" s="59">
        <f>Supuestos!$C$92*(1+Supuestos!$C$113)^INT((H$85-1)/12)</f>
        <v>318.27</v>
      </c>
      <c r="I104" s="59">
        <f>Supuestos!$C$92*(1+Supuestos!$C$113)^INT((I$85-1)/12)</f>
        <v>318.27</v>
      </c>
      <c r="J104" s="59">
        <f>Supuestos!$C$92*(1+Supuestos!$C$113)^INT((J$85-1)/12)</f>
        <v>318.27</v>
      </c>
      <c r="K104" s="59">
        <f>Supuestos!$C$92*(1+Supuestos!$C$113)^INT((K$85-1)/12)</f>
        <v>318.27</v>
      </c>
      <c r="L104" s="59">
        <f>Supuestos!$C$92*(1+Supuestos!$C$113)^INT((L$85-1)/12)</f>
        <v>318.27</v>
      </c>
      <c r="M104" s="59">
        <f>Supuestos!$C$92*(1+Supuestos!$C$113)^INT((M$85-1)/12)</f>
        <v>318.27</v>
      </c>
      <c r="N104" s="59">
        <f>Supuestos!$C$92*(1+Supuestos!$C$113)^INT((N$85-1)/12)</f>
        <v>318.27</v>
      </c>
      <c r="O104" s="75">
        <f t="shared" si="25"/>
        <v>3819.24</v>
      </c>
    </row>
    <row r="105" spans="2:15" x14ac:dyDescent="0.2">
      <c r="B105" s="7" t="s">
        <v>161</v>
      </c>
      <c r="C105" s="59">
        <f>Supuestos!$C$93*(1+Supuestos!$C$113)^INT((C$85-1)/12)</f>
        <v>848.71999999999991</v>
      </c>
      <c r="D105" s="59">
        <f>Supuestos!$C$93*(1+Supuestos!$C$113)^INT((D$85-1)/12)</f>
        <v>848.71999999999991</v>
      </c>
      <c r="E105" s="59">
        <f>Supuestos!$C$93*(1+Supuestos!$C$113)^INT((E$85-1)/12)</f>
        <v>848.71999999999991</v>
      </c>
      <c r="F105" s="59">
        <f>Supuestos!$C$93*(1+Supuestos!$C$113)^INT((F$85-1)/12)</f>
        <v>848.71999999999991</v>
      </c>
      <c r="G105" s="59">
        <f>Supuestos!$C$93*(1+Supuestos!$C$113)^INT((G$85-1)/12)</f>
        <v>848.71999999999991</v>
      </c>
      <c r="H105" s="59">
        <f>Supuestos!$C$93*(1+Supuestos!$C$113)^INT((H$85-1)/12)</f>
        <v>848.71999999999991</v>
      </c>
      <c r="I105" s="59">
        <f>Supuestos!$C$93*(1+Supuestos!$C$113)^INT((I$85-1)/12)</f>
        <v>848.71999999999991</v>
      </c>
      <c r="J105" s="59">
        <f>Supuestos!$C$93*(1+Supuestos!$C$113)^INT((J$85-1)/12)</f>
        <v>848.71999999999991</v>
      </c>
      <c r="K105" s="59">
        <f>Supuestos!$C$93*(1+Supuestos!$C$113)^INT((K$85-1)/12)</f>
        <v>848.71999999999991</v>
      </c>
      <c r="L105" s="59">
        <f>Supuestos!$C$93*(1+Supuestos!$C$113)^INT((L$85-1)/12)</f>
        <v>848.71999999999991</v>
      </c>
      <c r="M105" s="59">
        <f>Supuestos!$C$93*(1+Supuestos!$C$113)^INT((M$85-1)/12)</f>
        <v>848.71999999999991</v>
      </c>
      <c r="N105" s="59">
        <f>Supuestos!$C$93*(1+Supuestos!$C$113)^INT((N$85-1)/12)</f>
        <v>848.71999999999991</v>
      </c>
      <c r="O105" s="75">
        <f t="shared" si="25"/>
        <v>10184.64</v>
      </c>
    </row>
    <row r="106" spans="2:15" x14ac:dyDescent="0.2">
      <c r="B106" s="7" t="s">
        <v>145</v>
      </c>
      <c r="C106" s="59">
        <f>Supuestos!$C$94*(1+Supuestos!$C$113)^INT((C$85-1)/12)</f>
        <v>530.44999999999993</v>
      </c>
      <c r="D106" s="59">
        <f>Supuestos!$C$94*(1+Supuestos!$C$113)^INT((D$85-1)/12)</f>
        <v>530.44999999999993</v>
      </c>
      <c r="E106" s="59">
        <f>Supuestos!$C$94*(1+Supuestos!$C$113)^INT((E$85-1)/12)</f>
        <v>530.44999999999993</v>
      </c>
      <c r="F106" s="59">
        <f>Supuestos!$C$94*(1+Supuestos!$C$113)^INT((F$85-1)/12)</f>
        <v>530.44999999999993</v>
      </c>
      <c r="G106" s="59">
        <f>Supuestos!$C$94*(1+Supuestos!$C$113)^INT((G$85-1)/12)</f>
        <v>530.44999999999993</v>
      </c>
      <c r="H106" s="59">
        <f>Supuestos!$C$94*(1+Supuestos!$C$113)^INT((H$85-1)/12)</f>
        <v>530.44999999999993</v>
      </c>
      <c r="I106" s="59">
        <f>Supuestos!$C$94*(1+Supuestos!$C$113)^INT((I$85-1)/12)</f>
        <v>530.44999999999993</v>
      </c>
      <c r="J106" s="59">
        <f>Supuestos!$C$94*(1+Supuestos!$C$113)^INT((J$85-1)/12)</f>
        <v>530.44999999999993</v>
      </c>
      <c r="K106" s="59">
        <f>Supuestos!$C$94*(1+Supuestos!$C$113)^INT((K$85-1)/12)</f>
        <v>530.44999999999993</v>
      </c>
      <c r="L106" s="59">
        <f>Supuestos!$C$94*(1+Supuestos!$C$113)^INT((L$85-1)/12)</f>
        <v>530.44999999999993</v>
      </c>
      <c r="M106" s="59">
        <f>Supuestos!$C$94*(1+Supuestos!$C$113)^INT((M$85-1)/12)</f>
        <v>530.44999999999993</v>
      </c>
      <c r="N106" s="59">
        <f>Supuestos!$C$94*(1+Supuestos!$C$113)^INT((N$85-1)/12)</f>
        <v>530.44999999999993</v>
      </c>
      <c r="O106" s="75">
        <f t="shared" si="25"/>
        <v>6365.3999999999987</v>
      </c>
    </row>
    <row r="107" spans="2:15" x14ac:dyDescent="0.2">
      <c r="B107" s="65" t="s">
        <v>234</v>
      </c>
      <c r="C107" s="76">
        <f t="shared" ref="C107:N107" si="26">SUM(C97:C106)</f>
        <v>18385.397000000004</v>
      </c>
      <c r="D107" s="76">
        <f t="shared" si="26"/>
        <v>18385.397000000004</v>
      </c>
      <c r="E107" s="76">
        <f t="shared" si="26"/>
        <v>18385.397000000004</v>
      </c>
      <c r="F107" s="76">
        <f t="shared" si="26"/>
        <v>18385.397000000004</v>
      </c>
      <c r="G107" s="76">
        <f t="shared" si="26"/>
        <v>18385.397000000004</v>
      </c>
      <c r="H107" s="76">
        <f t="shared" si="26"/>
        <v>18385.397000000004</v>
      </c>
      <c r="I107" s="76">
        <f t="shared" si="26"/>
        <v>18385.397000000004</v>
      </c>
      <c r="J107" s="76">
        <f t="shared" si="26"/>
        <v>18385.397000000004</v>
      </c>
      <c r="K107" s="76">
        <f t="shared" si="26"/>
        <v>18385.397000000004</v>
      </c>
      <c r="L107" s="76">
        <f t="shared" si="26"/>
        <v>18385.397000000004</v>
      </c>
      <c r="M107" s="76">
        <f t="shared" si="26"/>
        <v>18385.397000000004</v>
      </c>
      <c r="N107" s="76">
        <f t="shared" si="26"/>
        <v>18385.397000000004</v>
      </c>
      <c r="O107" s="75">
        <f t="shared" si="25"/>
        <v>220624.764</v>
      </c>
    </row>
    <row r="108" spans="2:15" ht="18" customHeight="1" x14ac:dyDescent="0.2">
      <c r="B108" s="71" t="s">
        <v>235</v>
      </c>
    </row>
    <row r="109" spans="2:15" x14ac:dyDescent="0.2">
      <c r="B109" s="7" t="s">
        <v>236</v>
      </c>
      <c r="C109" s="59">
        <f>C95*Supuestos!$C$98</f>
        <v>342.04989680999995</v>
      </c>
      <c r="D109" s="59">
        <f>D95*Supuestos!$C$98</f>
        <v>348.41315420999996</v>
      </c>
      <c r="E109" s="59">
        <f>E95*Supuestos!$C$98</f>
        <v>349.64727716999994</v>
      </c>
      <c r="F109" s="59">
        <f>F95*Supuestos!$C$98</f>
        <v>343.95902531999997</v>
      </c>
      <c r="G109" s="59">
        <f>G95*Supuestos!$C$98</f>
        <v>363.79899419999992</v>
      </c>
      <c r="H109" s="59">
        <f>H95*Supuestos!$C$98</f>
        <v>363.4920267899999</v>
      </c>
      <c r="I109" s="59">
        <f>I95*Supuestos!$C$98</f>
        <v>363.54840752999996</v>
      </c>
      <c r="J109" s="59">
        <f>J95*Supuestos!$C$98</f>
        <v>361.47482678999995</v>
      </c>
      <c r="K109" s="59">
        <f>K95*Supuestos!$C$98</f>
        <v>360.40984605</v>
      </c>
      <c r="L109" s="59">
        <f>L95*Supuestos!$C$98</f>
        <v>353.85238271999992</v>
      </c>
      <c r="M109" s="59">
        <f>M95*Supuestos!$C$98</f>
        <v>344.88461753999997</v>
      </c>
      <c r="N109" s="59">
        <f>N95*Supuestos!$C$98</f>
        <v>335.86047161999994</v>
      </c>
      <c r="O109" s="75">
        <f>SUM(C109:N109)</f>
        <v>4231.3909267499994</v>
      </c>
    </row>
    <row r="110" spans="2:15" x14ac:dyDescent="0.2">
      <c r="B110" s="7" t="s">
        <v>237</v>
      </c>
      <c r="C110" s="59">
        <f>C94*Supuestos!$C$99</f>
        <v>1771.0910937499998</v>
      </c>
      <c r="D110" s="59">
        <f>D94*Supuestos!$C$99</f>
        <v>1828.8754687499998</v>
      </c>
      <c r="E110" s="59">
        <f>E94*Supuestos!$C$99</f>
        <v>1851.98921875</v>
      </c>
      <c r="F110" s="59">
        <f>F94*Supuestos!$C$99</f>
        <v>1837.5431249999999</v>
      </c>
      <c r="G110" s="59">
        <f>G94*Supuestos!$C$99</f>
        <v>1906.8843749999999</v>
      </c>
      <c r="H110" s="59">
        <f>H94*Supuestos!$C$99</f>
        <v>1927.1089062499998</v>
      </c>
      <c r="I110" s="59">
        <f>I94*Supuestos!$C$99</f>
        <v>1932.8873437499999</v>
      </c>
      <c r="J110" s="59">
        <f>J94*Supuestos!$C$99</f>
        <v>1927.1089062499998</v>
      </c>
      <c r="K110" s="59">
        <f>K94*Supuestos!$C$99</f>
        <v>1921.3304687499999</v>
      </c>
      <c r="L110" s="59">
        <f>L94*Supuestos!$C$99</f>
        <v>1895.3274999999999</v>
      </c>
      <c r="M110" s="59">
        <f>M94*Supuestos!$C$99</f>
        <v>1854.8784374999998</v>
      </c>
      <c r="N110" s="59">
        <f>N94*Supuestos!$C$99</f>
        <v>1808.6509374999998</v>
      </c>
      <c r="O110" s="75">
        <f>SUM(C110:N110)</f>
        <v>22463.675781249996</v>
      </c>
    </row>
    <row r="111" spans="2:15" x14ac:dyDescent="0.2">
      <c r="B111" s="65" t="s">
        <v>238</v>
      </c>
      <c r="C111" s="76">
        <f t="shared" ref="C111:N111" si="27">SUM(C109:C110)</f>
        <v>2113.1409905599999</v>
      </c>
      <c r="D111" s="76">
        <f t="shared" si="27"/>
        <v>2177.2886229599999</v>
      </c>
      <c r="E111" s="76">
        <f t="shared" si="27"/>
        <v>2201.63649592</v>
      </c>
      <c r="F111" s="76">
        <f t="shared" si="27"/>
        <v>2181.5021503200001</v>
      </c>
      <c r="G111" s="76">
        <f t="shared" si="27"/>
        <v>2270.6833692</v>
      </c>
      <c r="H111" s="76">
        <f t="shared" si="27"/>
        <v>2290.6009330399997</v>
      </c>
      <c r="I111" s="76">
        <f t="shared" si="27"/>
        <v>2296.4357512799997</v>
      </c>
      <c r="J111" s="76">
        <f t="shared" si="27"/>
        <v>2288.58373304</v>
      </c>
      <c r="K111" s="76">
        <f t="shared" si="27"/>
        <v>2281.7403147999999</v>
      </c>
      <c r="L111" s="76">
        <f t="shared" si="27"/>
        <v>2249.17988272</v>
      </c>
      <c r="M111" s="76">
        <f t="shared" si="27"/>
        <v>2199.7630550399999</v>
      </c>
      <c r="N111" s="76">
        <f t="shared" si="27"/>
        <v>2144.5114091199998</v>
      </c>
      <c r="O111" s="75">
        <f>SUM(C111:N111)</f>
        <v>26695.066708000002</v>
      </c>
    </row>
    <row r="112" spans="2:15" x14ac:dyDescent="0.2">
      <c r="B112" s="77" t="s">
        <v>210</v>
      </c>
      <c r="C112" s="78">
        <f t="shared" ref="C112:N112" si="28">C95-C107-C111</f>
        <v>8005.6200769399929</v>
      </c>
      <c r="D112" s="78">
        <f t="shared" si="28"/>
        <v>8471.7438945399917</v>
      </c>
      <c r="E112" s="78">
        <f t="shared" si="28"/>
        <v>8550.2396015799895</v>
      </c>
      <c r="F112" s="78">
        <f t="shared" si="28"/>
        <v>8096.3529596799926</v>
      </c>
      <c r="G112" s="78">
        <f t="shared" si="28"/>
        <v>9660.5024807999907</v>
      </c>
      <c r="H112" s="78">
        <f t="shared" si="28"/>
        <v>9615.004299459988</v>
      </c>
      <c r="I112" s="78">
        <f t="shared" si="28"/>
        <v>9613.8678762199906</v>
      </c>
      <c r="J112" s="78">
        <f t="shared" si="28"/>
        <v>9448.9214994599897</v>
      </c>
      <c r="K112" s="78">
        <f t="shared" si="28"/>
        <v>9367.0165226999943</v>
      </c>
      <c r="L112" s="78">
        <f t="shared" si="28"/>
        <v>8853.1216772799889</v>
      </c>
      <c r="M112" s="78">
        <f t="shared" si="28"/>
        <v>8155.2247399599937</v>
      </c>
      <c r="N112" s="78">
        <f t="shared" si="28"/>
        <v>7458.4642258799922</v>
      </c>
      <c r="O112" s="78">
        <f>SUM(C112:N112)</f>
        <v>105296.0798544999</v>
      </c>
    </row>
    <row r="113" spans="2:15" ht="18" customHeight="1" x14ac:dyDescent="0.2">
      <c r="B113" s="71" t="s">
        <v>239</v>
      </c>
    </row>
    <row r="114" spans="2:15" x14ac:dyDescent="0.2">
      <c r="B114" s="7" t="s">
        <v>240</v>
      </c>
      <c r="C114" s="59">
        <f>IF(C$85&lt;=Supuestos!$C$106,C115,MIN(Supuestos!$C$108,N79+C115))</f>
        <v>2327.1337741042303</v>
      </c>
      <c r="D114" s="59">
        <f>IF(D$85&lt;=Supuestos!$C$106,D115,MIN(Supuestos!$C$108,C117+D115))</f>
        <v>2327.1337741042303</v>
      </c>
      <c r="E114" s="59">
        <f>IF(E$85&lt;=Supuestos!$C$106,E115,MIN(Supuestos!$C$108,D117+E115))</f>
        <v>2327.1337741042303</v>
      </c>
      <c r="F114" s="59">
        <f>IF(F$85&lt;=Supuestos!$C$106,F115,MIN(Supuestos!$C$108,E117+F115))</f>
        <v>2327.1337741042303</v>
      </c>
      <c r="G114" s="59">
        <f>IF(G$85&lt;=Supuestos!$C$106,G115,MIN(Supuestos!$C$108,F117+G115))</f>
        <v>2327.1337741042303</v>
      </c>
      <c r="H114" s="59">
        <f>IF(H$85&lt;=Supuestos!$C$106,H115,MIN(Supuestos!$C$108,G117+H115))</f>
        <v>2327.1337741042303</v>
      </c>
      <c r="I114" s="59">
        <f>IF(I$85&lt;=Supuestos!$C$106,I115,MIN(Supuestos!$C$108,H117+I115))</f>
        <v>2327.1337741042303</v>
      </c>
      <c r="J114" s="59">
        <f>IF(J$85&lt;=Supuestos!$C$106,J115,MIN(Supuestos!$C$108,I117+J115))</f>
        <v>2327.1337741042303</v>
      </c>
      <c r="K114" s="59">
        <f>IF(K$85&lt;=Supuestos!$C$106,K115,MIN(Supuestos!$C$108,J117+K115))</f>
        <v>2327.1337741042303</v>
      </c>
      <c r="L114" s="59">
        <f>IF(L$85&lt;=Supuestos!$C$106,L115,MIN(Supuestos!$C$108,K117+L115))</f>
        <v>2327.1337741042303</v>
      </c>
      <c r="M114" s="59">
        <f>IF(M$85&lt;=Supuestos!$C$106,M115,MIN(Supuestos!$C$108,L117+M115))</f>
        <v>2327.1337741042303</v>
      </c>
      <c r="N114" s="59">
        <f>IF(N$85&lt;=Supuestos!$C$106,N115,MIN(Supuestos!$C$108,M117+N115))</f>
        <v>2327.1337741042303</v>
      </c>
      <c r="O114" s="75">
        <f>SUM(C114:N114)</f>
        <v>27925.605289250761</v>
      </c>
    </row>
    <row r="115" spans="2:15" x14ac:dyDescent="0.2">
      <c r="B115" s="79" t="s">
        <v>241</v>
      </c>
      <c r="C115" s="80">
        <f>N79*Supuestos!$C$104/12</f>
        <v>601.86149704219633</v>
      </c>
      <c r="D115" s="80">
        <f>C117*Supuestos!$C$104/12</f>
        <v>593.2351356568862</v>
      </c>
      <c r="E115" s="80">
        <f>D117*Supuestos!$C$104/12</f>
        <v>584.5656424646495</v>
      </c>
      <c r="F115" s="80">
        <f>E117*Supuestos!$C$104/12</f>
        <v>575.85280180645157</v>
      </c>
      <c r="G115" s="80">
        <f>F117*Supuestos!$C$104/12</f>
        <v>567.09639694496263</v>
      </c>
      <c r="H115" s="80">
        <f>G117*Supuestos!$C$104/12</f>
        <v>558.29621005916636</v>
      </c>
      <c r="I115" s="80">
        <f>H117*Supuestos!$C$104/12</f>
        <v>549.45202223894091</v>
      </c>
      <c r="J115" s="80">
        <f>I117*Supuestos!$C$104/12</f>
        <v>540.56361347961456</v>
      </c>
      <c r="K115" s="80">
        <f>J117*Supuestos!$C$104/12</f>
        <v>531.63076267649149</v>
      </c>
      <c r="L115" s="80">
        <f>K117*Supuestos!$C$104/12</f>
        <v>522.65324761935278</v>
      </c>
      <c r="M115" s="80">
        <f>L117*Supuestos!$C$104/12</f>
        <v>513.63084498692842</v>
      </c>
      <c r="N115" s="80">
        <f>M117*Supuestos!$C$104/12</f>
        <v>504.56333034134195</v>
      </c>
      <c r="O115" s="75">
        <f>SUM(C115:N115)</f>
        <v>6643.4015053169824</v>
      </c>
    </row>
    <row r="116" spans="2:15" x14ac:dyDescent="0.2">
      <c r="B116" s="79" t="s">
        <v>242</v>
      </c>
      <c r="C116" s="80">
        <f t="shared" ref="C116:N116" si="29">C114-C115</f>
        <v>1725.2722770620339</v>
      </c>
      <c r="D116" s="80">
        <f t="shared" si="29"/>
        <v>1733.8986384473442</v>
      </c>
      <c r="E116" s="80">
        <f t="shared" si="29"/>
        <v>1742.5681316395808</v>
      </c>
      <c r="F116" s="80">
        <f t="shared" si="29"/>
        <v>1751.2809722977786</v>
      </c>
      <c r="G116" s="80">
        <f t="shared" si="29"/>
        <v>1760.0373771592676</v>
      </c>
      <c r="H116" s="80">
        <f t="shared" si="29"/>
        <v>1768.837564045064</v>
      </c>
      <c r="I116" s="80">
        <f t="shared" si="29"/>
        <v>1777.6817518652892</v>
      </c>
      <c r="J116" s="80">
        <f t="shared" si="29"/>
        <v>1786.5701606246157</v>
      </c>
      <c r="K116" s="80">
        <f t="shared" si="29"/>
        <v>1795.5030114277388</v>
      </c>
      <c r="L116" s="80">
        <f t="shared" si="29"/>
        <v>1804.4805264848774</v>
      </c>
      <c r="M116" s="80">
        <f t="shared" si="29"/>
        <v>1813.5029291173018</v>
      </c>
      <c r="N116" s="80">
        <f t="shared" si="29"/>
        <v>1822.5704437628883</v>
      </c>
      <c r="O116" s="75">
        <f>SUM(C116:N116)</f>
        <v>21282.203783933779</v>
      </c>
    </row>
    <row r="117" spans="2:15" x14ac:dyDescent="0.2">
      <c r="B117" s="7" t="s">
        <v>243</v>
      </c>
      <c r="C117" s="59">
        <f>MAX(0,N79-C116)</f>
        <v>118647.02713137724</v>
      </c>
      <c r="D117" s="59">
        <f t="shared" ref="D117:N117" si="30">MAX(0,C117-D116)</f>
        <v>116913.1284929299</v>
      </c>
      <c r="E117" s="59">
        <f t="shared" si="30"/>
        <v>115170.56036129032</v>
      </c>
      <c r="F117" s="59">
        <f t="shared" si="30"/>
        <v>113419.27938899254</v>
      </c>
      <c r="G117" s="59">
        <f t="shared" si="30"/>
        <v>111659.24201183327</v>
      </c>
      <c r="H117" s="59">
        <f t="shared" si="30"/>
        <v>109890.4044477882</v>
      </c>
      <c r="I117" s="59">
        <f t="shared" si="30"/>
        <v>108112.72269592292</v>
      </c>
      <c r="J117" s="59">
        <f t="shared" si="30"/>
        <v>106326.1525352983</v>
      </c>
      <c r="K117" s="59">
        <f t="shared" si="30"/>
        <v>104530.64952387057</v>
      </c>
      <c r="L117" s="59">
        <f t="shared" si="30"/>
        <v>102726.16899738568</v>
      </c>
      <c r="M117" s="59">
        <f t="shared" si="30"/>
        <v>100912.66606826839</v>
      </c>
      <c r="N117" s="59">
        <f t="shared" si="30"/>
        <v>99090.095624505499</v>
      </c>
      <c r="O117" s="75">
        <f>N117</f>
        <v>99090.095624505499</v>
      </c>
    </row>
    <row r="118" spans="2:15" x14ac:dyDescent="0.2">
      <c r="B118" s="65" t="s">
        <v>244</v>
      </c>
      <c r="C118" s="76">
        <f t="shared" ref="C118:N118" si="31">C112-C114</f>
        <v>5678.4863028357631</v>
      </c>
      <c r="D118" s="76">
        <f t="shared" si="31"/>
        <v>6144.6101204357619</v>
      </c>
      <c r="E118" s="76">
        <f t="shared" si="31"/>
        <v>6223.1058274757597</v>
      </c>
      <c r="F118" s="76">
        <f t="shared" si="31"/>
        <v>5769.2191855757628</v>
      </c>
      <c r="G118" s="76">
        <f t="shared" si="31"/>
        <v>7333.3687066957609</v>
      </c>
      <c r="H118" s="76">
        <f t="shared" si="31"/>
        <v>7287.8705253557582</v>
      </c>
      <c r="I118" s="76">
        <f t="shared" si="31"/>
        <v>7286.7341021157608</v>
      </c>
      <c r="J118" s="76">
        <f t="shared" si="31"/>
        <v>7121.7877253557599</v>
      </c>
      <c r="K118" s="76">
        <f t="shared" si="31"/>
        <v>7039.8827485957645</v>
      </c>
      <c r="L118" s="76">
        <f t="shared" si="31"/>
        <v>6525.9879031757591</v>
      </c>
      <c r="M118" s="76">
        <f t="shared" si="31"/>
        <v>5828.090965855763</v>
      </c>
      <c r="N118" s="76">
        <f t="shared" si="31"/>
        <v>5131.3304517757624</v>
      </c>
      <c r="O118" s="75">
        <f>SUM(C118:N118)</f>
        <v>77370.47456524914</v>
      </c>
    </row>
    <row r="119" spans="2:15" x14ac:dyDescent="0.2">
      <c r="B119" s="81" t="s">
        <v>201</v>
      </c>
      <c r="C119" s="82">
        <f>N81+C118</f>
        <v>52931.375908159542</v>
      </c>
      <c r="D119" s="82">
        <f t="shared" ref="D119:N119" si="32">C119+D118</f>
        <v>59075.986028595304</v>
      </c>
      <c r="E119" s="82">
        <f t="shared" si="32"/>
        <v>65299.091856071063</v>
      </c>
      <c r="F119" s="82">
        <f t="shared" si="32"/>
        <v>71068.311041646826</v>
      </c>
      <c r="G119" s="82">
        <f t="shared" si="32"/>
        <v>78401.679748342591</v>
      </c>
      <c r="H119" s="82">
        <f t="shared" si="32"/>
        <v>85689.550273698347</v>
      </c>
      <c r="I119" s="82">
        <f t="shared" si="32"/>
        <v>92976.28437581411</v>
      </c>
      <c r="J119" s="82">
        <f t="shared" si="32"/>
        <v>100098.07210116988</v>
      </c>
      <c r="K119" s="82">
        <f t="shared" si="32"/>
        <v>107137.95484976564</v>
      </c>
      <c r="L119" s="82">
        <f t="shared" si="32"/>
        <v>113663.9427529414</v>
      </c>
      <c r="M119" s="82">
        <f t="shared" si="32"/>
        <v>119492.03371879716</v>
      </c>
      <c r="N119" s="82">
        <f t="shared" si="32"/>
        <v>124623.36417057292</v>
      </c>
      <c r="O119" s="82">
        <f>N119</f>
        <v>124623.36417057292</v>
      </c>
    </row>
  </sheetData>
  <mergeCells count="3">
    <mergeCell ref="B7:O7"/>
    <mergeCell ref="B45:O45"/>
    <mergeCell ref="B83:O83"/>
  </mergeCells>
  <conditionalFormatting sqref="C8:N8">
    <cfRule type="expression" dxfId="23" priority="5">
      <formula>C$9=$S$4</formula>
    </cfRule>
    <cfRule type="expression" dxfId="22" priority="6">
      <formula>C$9=$R$4</formula>
    </cfRule>
  </conditionalFormatting>
  <conditionalFormatting sqref="C14:N14 C52:N52 C90:N90">
    <cfRule type="dataBar" priority="4">
      <dataBar>
        <cfvo type="num" val="0"/>
        <cfvo type="max"/>
        <color rgb="FF9EEDE3"/>
      </dataBar>
    </cfRule>
  </conditionalFormatting>
  <conditionalFormatting sqref="C46:N46">
    <cfRule type="expression" dxfId="21" priority="7">
      <formula>C$47=$S$4</formula>
    </cfRule>
    <cfRule type="expression" dxfId="20" priority="8">
      <formula>C$47=$R$4</formula>
    </cfRule>
  </conditionalFormatting>
  <conditionalFormatting sqref="C84:N84">
    <cfRule type="expression" dxfId="19" priority="9">
      <formula>C$85=$S$4</formula>
    </cfRule>
    <cfRule type="expression" dxfId="18" priority="10">
      <formula>C$85=$R$4</formula>
    </cfRule>
  </conditionalFormatting>
  <conditionalFormatting sqref="C36:O36 C74:O74 C112:O112">
    <cfRule type="cellIs" dxfId="17" priority="1" operator="lessThan">
      <formula>0</formula>
    </cfRule>
  </conditionalFormatting>
  <conditionalFormatting sqref="C42:O43 C80:O81 C118:O119">
    <cfRule type="cellIs" dxfId="16" priority="2" operator="lessThan">
      <formula>0</formula>
    </cfRule>
  </conditionalFormatting>
  <printOptions horizontalCentered="1"/>
  <pageMargins left="0.45" right="0.45" top="0.6" bottom="0.6" header="0.25" footer="0.25"/>
  <pageSetup paperSize="9" fitToHeight="0" orientation="landscape"/>
  <headerFooter>
    <oddHeader>&amp;L&amp;"Arial,Bold"&amp;8 &amp;K5C697D&amp;A&amp;R&amp;"Arial,Regular"&amp;8 &amp;K5C697DPlan de viabilidad</oddHeader>
    <oddFooter>&amp;L&amp;"Arial,Regular"&amp;8 &amp;K5C697DPlantilla gratuita de GymGym · gymgym.es/recursos&amp;R&amp;"Arial,Regular"&amp;8 &amp;K5C697DPágina &amp;P de &amp;N</oddFooter>
    <evenHeader>&amp;L&amp;"Arial,Bold"&amp;8 &amp;K5C697D&amp;A&amp;R&amp;"Arial,Regular"&amp;8 &amp;K5C697DPlan de viabilidad</evenHeader>
    <evenFooter>&amp;L&amp;"Arial,Regular"&amp;8 &amp;K5C697DPlantilla gratuita de GymGym · gymgym.es/recursos&amp;R&amp;"Arial,Regular"&amp;8 &amp;K5C697DPágina &amp;P de &amp;N</evenFooter>
    <firstHeader>&amp;L&amp;"Arial,Bold"&amp;8 &amp;K5C697D&amp;A&amp;R&amp;"Arial,Regular"&amp;8 &amp;K5C697DPlan de viabilidad</firstHeader>
    <firstFooter>&amp;L&amp;"Arial,Regular"&amp;8 &amp;K5C697DPlantilla gratuita de GymGym · gymgym.es/recursos&amp;R&amp;"Arial,Regular"&amp;8 &amp;K5C697DPágina &amp;P de &amp;N</firstFooter>
  </headerFooter>
  <rowBreaks count="2" manualBreakCount="2">
    <brk id="44" max="16383" man="1"/>
    <brk id="82" max="16383" man="1"/>
  </rowBreaks>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4F82EC"/>
    <pageSetUpPr fitToPage="1"/>
  </sheetPr>
  <dimension ref="B1:H46"/>
  <sheetViews>
    <sheetView showGridLines="0" workbookViewId="0">
      <pane xSplit="2" ySplit="6" topLeftCell="C7" activePane="bottomRight" state="frozen"/>
      <selection pane="topRight"/>
      <selection pane="bottomLeft"/>
      <selection pane="bottomRight"/>
    </sheetView>
  </sheetViews>
  <sheetFormatPr baseColWidth="10" defaultColWidth="8.83203125" defaultRowHeight="15" x14ac:dyDescent="0.2"/>
  <cols>
    <col min="1" max="1" width="2.5" customWidth="1"/>
    <col min="2" max="2" width="46" customWidth="1"/>
    <col min="3" max="3" width="14" customWidth="1"/>
    <col min="4" max="4" width="8" customWidth="1"/>
    <col min="5" max="5" width="14" customWidth="1"/>
    <col min="6" max="6" width="8" customWidth="1"/>
    <col min="7" max="7" width="14" customWidth="1"/>
    <col min="8" max="8" width="8" customWidth="1"/>
    <col min="9" max="9" width="2.5" customWidth="1"/>
  </cols>
  <sheetData>
    <row r="1" spans="2:8" ht="34" customHeight="1" x14ac:dyDescent="0.25">
      <c r="B1" s="21" t="s">
        <v>247</v>
      </c>
    </row>
    <row r="2" spans="2:8" ht="20" customHeight="1" x14ac:dyDescent="0.2">
      <c r="B2" s="19" t="s">
        <v>248</v>
      </c>
    </row>
    <row r="3" spans="2:8" ht="5" customHeight="1" x14ac:dyDescent="0.2">
      <c r="B3" s="2"/>
      <c r="C3" s="2"/>
      <c r="D3" s="2"/>
      <c r="E3" s="2"/>
      <c r="F3" s="2"/>
      <c r="G3" s="2"/>
      <c r="H3" s="2"/>
    </row>
    <row r="5" spans="2:8" ht="24" customHeight="1" x14ac:dyDescent="0.2">
      <c r="B5" s="32" t="s">
        <v>217</v>
      </c>
      <c r="C5" s="4" t="s">
        <v>204</v>
      </c>
      <c r="D5" s="4" t="s">
        <v>249</v>
      </c>
      <c r="E5" s="4" t="s">
        <v>205</v>
      </c>
      <c r="F5" s="4" t="s">
        <v>249</v>
      </c>
      <c r="G5" s="4" t="s">
        <v>206</v>
      </c>
      <c r="H5" s="4" t="s">
        <v>249</v>
      </c>
    </row>
    <row r="6" spans="2:8" x14ac:dyDescent="0.2">
      <c r="B6" s="69" t="s">
        <v>250</v>
      </c>
      <c r="C6" s="22" t="str">
        <f>CHOOSE(MONTH(DATE(YEAR(Supuestos!$C$8),MONTH(Supuestos!$C$8)+(1)-1,1)),"ene","feb","mar","abr","may","jun","jul","ago","sep","oct","nov","dic")&amp;" "&amp;RIGHT(YEAR(DATE(YEAR(Supuestos!$C$8),MONTH(Supuestos!$C$8)+(1)-1,1)),2)&amp;" – "&amp;CHOOSE(MONTH(DATE(YEAR(Supuestos!$C$8),MONTH(Supuestos!$C$8)+(12)-1,1)),"ene","feb","mar","abr","may","jun","jul","ago","sep","oct","nov","dic")&amp;" "&amp;RIGHT(YEAR(DATE(YEAR(Supuestos!$C$8),MONTH(Supuestos!$C$8)+(12)-1,1)),2)</f>
        <v>sep 27 – ago 28</v>
      </c>
      <c r="E6" s="22" t="str">
        <f>CHOOSE(MONTH(DATE(YEAR(Supuestos!$C$8),MONTH(Supuestos!$C$8)+(13)-1,1)),"ene","feb","mar","abr","may","jun","jul","ago","sep","oct","nov","dic")&amp;" "&amp;RIGHT(YEAR(DATE(YEAR(Supuestos!$C$8),MONTH(Supuestos!$C$8)+(13)-1,1)),2)&amp;" – "&amp;CHOOSE(MONTH(DATE(YEAR(Supuestos!$C$8),MONTH(Supuestos!$C$8)+(24)-1,1)),"ene","feb","mar","abr","may","jun","jul","ago","sep","oct","nov","dic")&amp;" "&amp;RIGHT(YEAR(DATE(YEAR(Supuestos!$C$8),MONTH(Supuestos!$C$8)+(24)-1,1)),2)</f>
        <v>sep 28 – ago 29</v>
      </c>
      <c r="G6" s="22" t="str">
        <f>CHOOSE(MONTH(DATE(YEAR(Supuestos!$C$8),MONTH(Supuestos!$C$8)+(25)-1,1)),"ene","feb","mar","abr","may","jun","jul","ago","sep","oct","nov","dic")&amp;" "&amp;RIGHT(YEAR(DATE(YEAR(Supuestos!$C$8),MONTH(Supuestos!$C$8)+(25)-1,1)),2)&amp;" – "&amp;CHOOSE(MONTH(DATE(YEAR(Supuestos!$C$8),MONTH(Supuestos!$C$8)+(36)-1,1)),"ene","feb","mar","abr","may","jun","jul","ago","sep","oct","nov","dic")&amp;" "&amp;RIGHT(YEAR(DATE(YEAR(Supuestos!$C$8),MONTH(Supuestos!$C$8)+(36)-1,1)),2)</f>
        <v>sep 29 – ago 30</v>
      </c>
    </row>
    <row r="7" spans="2:8" x14ac:dyDescent="0.2">
      <c r="B7" s="83" t="s">
        <v>207</v>
      </c>
      <c r="C7" s="84">
        <f>'Previsión 36 meses'!$O$14</f>
        <v>430</v>
      </c>
      <c r="D7" s="85"/>
      <c r="E7" s="84">
        <f>'Previsión 36 meses'!$O$52</f>
        <v>574</v>
      </c>
      <c r="F7" s="85"/>
      <c r="G7" s="84">
        <f>'Previsión 36 meses'!$O$90</f>
        <v>626</v>
      </c>
      <c r="H7" s="85"/>
    </row>
    <row r="8" spans="2:8" x14ac:dyDescent="0.2">
      <c r="B8" s="83" t="s">
        <v>251</v>
      </c>
      <c r="C8" s="84">
        <f>AVERAGE('Previsión 36 meses'!$C$14:$N$14)</f>
        <v>368.08333333333331</v>
      </c>
      <c r="D8" s="85"/>
      <c r="E8" s="84">
        <f>AVERAGE('Previsión 36 meses'!$C$52:$N$52)</f>
        <v>563</v>
      </c>
      <c r="F8" s="85"/>
      <c r="G8" s="84">
        <f>AVERAGE('Previsión 36 meses'!$C$90:$N$90)</f>
        <v>647.91666666666663</v>
      </c>
      <c r="H8" s="85"/>
    </row>
    <row r="9" spans="2:8" ht="20" customHeight="1" x14ac:dyDescent="0.2">
      <c r="B9" s="71" t="s">
        <v>252</v>
      </c>
    </row>
    <row r="10" spans="2:8" x14ac:dyDescent="0.2">
      <c r="B10" s="7" t="s">
        <v>226</v>
      </c>
      <c r="C10" s="59">
        <f>'Previsión 36 meses'!$O$16</f>
        <v>162262.91199999998</v>
      </c>
      <c r="D10" s="85">
        <f>IFERROR(C10/C$13,0)</f>
        <v>0.81811962999512156</v>
      </c>
      <c r="E10" s="59">
        <f>'Previsión 36 meses'!$O$54</f>
        <v>254393.12639999992</v>
      </c>
      <c r="F10" s="85">
        <f>IFERROR(E10/E$13,0)</f>
        <v>0.84559792382869048</v>
      </c>
      <c r="G10" s="59">
        <f>'Previsión 36 meses'!$O$92</f>
        <v>300082.03399999993</v>
      </c>
      <c r="H10" s="85">
        <f>IFERROR(G10/G$13,0)</f>
        <v>0.85101671538673074</v>
      </c>
    </row>
    <row r="11" spans="2:8" x14ac:dyDescent="0.2">
      <c r="B11" s="7" t="s">
        <v>227</v>
      </c>
      <c r="C11" s="59">
        <f>'Previsión 36 meses'!$O$17</f>
        <v>11780</v>
      </c>
      <c r="D11" s="85">
        <f>IFERROR(C11/C$13,0)</f>
        <v>5.9394036028039075E-2</v>
      </c>
      <c r="E11" s="59">
        <f>'Previsión 36 meses'!$O$55</f>
        <v>8364</v>
      </c>
      <c r="F11" s="85">
        <f>IFERROR(E11/E$13,0)</f>
        <v>2.7801777253141889E-2</v>
      </c>
      <c r="G11" s="59">
        <f>'Previsión 36 meses'!$O$93</f>
        <v>7606.5249999999987</v>
      </c>
      <c r="H11" s="85">
        <f>IFERROR(G11/G$13,0)</f>
        <v>2.1571701026950028E-2</v>
      </c>
    </row>
    <row r="12" spans="2:8" x14ac:dyDescent="0.2">
      <c r="B12" s="7" t="s">
        <v>228</v>
      </c>
      <c r="C12" s="59">
        <f>'Previsión 36 meses'!$O$18</f>
        <v>24293.5</v>
      </c>
      <c r="D12" s="85">
        <f>IFERROR(C12/C$13,0)</f>
        <v>0.12248633397683932</v>
      </c>
      <c r="E12" s="59">
        <f>'Previsión 36 meses'!$O$56</f>
        <v>38086.950000000004</v>
      </c>
      <c r="F12" s="85">
        <f>IFERROR(E12/E$13,0)</f>
        <v>0.12660029891816746</v>
      </c>
      <c r="G12" s="59">
        <f>'Previsión 36 meses'!$O$94</f>
        <v>44927.351562499993</v>
      </c>
      <c r="H12" s="85">
        <f>IFERROR(G12/G$13,0)</f>
        <v>0.12741158358631913</v>
      </c>
    </row>
    <row r="13" spans="2:8" x14ac:dyDescent="0.2">
      <c r="B13" s="86" t="s">
        <v>229</v>
      </c>
      <c r="C13" s="87">
        <f>SUM(C10:C12)</f>
        <v>198336.41199999998</v>
      </c>
      <c r="D13" s="88">
        <f>IFERROR(C13/C$13,0)</f>
        <v>1</v>
      </c>
      <c r="E13" s="87">
        <f>SUM(E10:E12)</f>
        <v>300844.07639999996</v>
      </c>
      <c r="F13" s="88">
        <f>IFERROR(E13/E$13,0)</f>
        <v>1</v>
      </c>
      <c r="G13" s="87">
        <f>SUM(G10:G12)</f>
        <v>352615.91056249995</v>
      </c>
      <c r="H13" s="88">
        <f>IFERROR(G13/G$13,0)</f>
        <v>1</v>
      </c>
    </row>
    <row r="14" spans="2:8" ht="20" customHeight="1" x14ac:dyDescent="0.2">
      <c r="B14" s="71" t="s">
        <v>230</v>
      </c>
    </row>
    <row r="15" spans="2:8" x14ac:dyDescent="0.2">
      <c r="B15" s="7" t="s">
        <v>231</v>
      </c>
      <c r="C15" s="59">
        <f>'Previsión 36 meses'!$O$21</f>
        <v>105600</v>
      </c>
      <c r="D15" s="85">
        <f t="shared" ref="D15:D25" si="0">IFERROR(C15/C$13,0)</f>
        <v>0.53242871006459469</v>
      </c>
      <c r="E15" s="59">
        <f>'Previsión 36 meses'!$O$59</f>
        <v>108768</v>
      </c>
      <c r="F15" s="85">
        <f t="shared" ref="F15:F25" si="1">IFERROR(E15/E$13,0)</f>
        <v>0.36154276760757259</v>
      </c>
      <c r="G15" s="59">
        <f>'Previsión 36 meses'!$O$97</f>
        <v>112031.03999999999</v>
      </c>
      <c r="H15" s="85">
        <f t="shared" ref="H15:H25" si="2">IFERROR(G15/G$13,0)</f>
        <v>0.31771408108410604</v>
      </c>
    </row>
    <row r="16" spans="2:8" x14ac:dyDescent="0.2">
      <c r="B16" s="7" t="s">
        <v>147</v>
      </c>
      <c r="C16" s="59">
        <f>'Previsión 36 meses'!$O$22</f>
        <v>43200</v>
      </c>
      <c r="D16" s="85">
        <f t="shared" si="0"/>
        <v>0.21781174502642511</v>
      </c>
      <c r="E16" s="59">
        <f>'Previsión 36 meses'!$O$60</f>
        <v>44496</v>
      </c>
      <c r="F16" s="85">
        <f t="shared" si="1"/>
        <v>0.14790385947582516</v>
      </c>
      <c r="G16" s="59">
        <f>'Previsión 36 meses'!$O$98</f>
        <v>45830.879999999983</v>
      </c>
      <c r="H16" s="85">
        <f t="shared" si="2"/>
        <v>0.12997394226167971</v>
      </c>
    </row>
    <row r="17" spans="2:8" x14ac:dyDescent="0.2">
      <c r="B17" s="7" t="s">
        <v>232</v>
      </c>
      <c r="C17" s="59">
        <f>'Previsión 36 meses'!$O$23</f>
        <v>18000</v>
      </c>
      <c r="D17" s="85">
        <f t="shared" si="0"/>
        <v>9.0754893761010466E-2</v>
      </c>
      <c r="E17" s="59">
        <f>'Previsión 36 meses'!$O$61</f>
        <v>18540</v>
      </c>
      <c r="F17" s="85">
        <f t="shared" si="1"/>
        <v>6.1626608114927144E-2</v>
      </c>
      <c r="G17" s="59">
        <f>'Previsión 36 meses'!$O$99</f>
        <v>19096.2</v>
      </c>
      <c r="H17" s="85">
        <f t="shared" si="2"/>
        <v>5.41558092756999E-2</v>
      </c>
    </row>
    <row r="18" spans="2:8" x14ac:dyDescent="0.2">
      <c r="B18" s="7" t="s">
        <v>233</v>
      </c>
      <c r="C18" s="59">
        <f>'Previsión 36 meses'!$O$24</f>
        <v>1800</v>
      </c>
      <c r="D18" s="85">
        <f t="shared" si="0"/>
        <v>9.075489376101047E-3</v>
      </c>
      <c r="E18" s="59">
        <f>'Previsión 36 meses'!$O$62</f>
        <v>1854</v>
      </c>
      <c r="F18" s="85">
        <f t="shared" si="1"/>
        <v>6.1626608114927145E-3</v>
      </c>
      <c r="G18" s="59">
        <f>'Previsión 36 meses'!$O$100</f>
        <v>1909.62</v>
      </c>
      <c r="H18" s="85">
        <f t="shared" si="2"/>
        <v>5.4155809275699893E-3</v>
      </c>
    </row>
    <row r="19" spans="2:8" x14ac:dyDescent="0.2">
      <c r="B19" s="7" t="s">
        <v>153</v>
      </c>
      <c r="C19" s="59">
        <f>'Previsión 36 meses'!$O$25</f>
        <v>2160</v>
      </c>
      <c r="D19" s="85">
        <f t="shared" si="0"/>
        <v>1.0890587251321256E-2</v>
      </c>
      <c r="E19" s="59">
        <f>'Previsión 36 meses'!$O$63</f>
        <v>2224.8000000000006</v>
      </c>
      <c r="F19" s="85">
        <f t="shared" si="1"/>
        <v>7.3951929737912595E-3</v>
      </c>
      <c r="G19" s="59">
        <f>'Previsión 36 meses'!$O$101</f>
        <v>2291.5439999999999</v>
      </c>
      <c r="H19" s="85">
        <f t="shared" si="2"/>
        <v>6.4986971130839869E-3</v>
      </c>
    </row>
    <row r="20" spans="2:8" x14ac:dyDescent="0.2">
      <c r="B20" s="7" t="s">
        <v>155</v>
      </c>
      <c r="C20" s="59">
        <f>'Previsión 36 meses'!$O$26</f>
        <v>4800</v>
      </c>
      <c r="D20" s="85">
        <f t="shared" si="0"/>
        <v>2.4201305002936126E-2</v>
      </c>
      <c r="E20" s="59">
        <f>'Previsión 36 meses'!$O$64</f>
        <v>4944</v>
      </c>
      <c r="F20" s="85">
        <f t="shared" si="1"/>
        <v>1.6433762163980573E-2</v>
      </c>
      <c r="G20" s="59">
        <f>'Previsión 36 meses'!$O$102</f>
        <v>5092.32</v>
      </c>
      <c r="H20" s="85">
        <f t="shared" si="2"/>
        <v>1.4441549140186638E-2</v>
      </c>
    </row>
    <row r="21" spans="2:8" x14ac:dyDescent="0.2">
      <c r="B21" s="7" t="s">
        <v>157</v>
      </c>
      <c r="C21" s="59">
        <f>'Previsión 36 meses'!$O$27</f>
        <v>13200</v>
      </c>
      <c r="D21" s="85">
        <f t="shared" si="0"/>
        <v>6.6553588758074336E-2</v>
      </c>
      <c r="E21" s="59">
        <f>'Previsión 36 meses'!$O$65</f>
        <v>13596</v>
      </c>
      <c r="F21" s="85">
        <f t="shared" si="1"/>
        <v>4.5192845950946574E-2</v>
      </c>
      <c r="G21" s="59">
        <f>'Previsión 36 meses'!$O$103</f>
        <v>14003.88</v>
      </c>
      <c r="H21" s="85">
        <f t="shared" si="2"/>
        <v>3.9714260135513255E-2</v>
      </c>
    </row>
    <row r="22" spans="2:8" x14ac:dyDescent="0.2">
      <c r="B22" s="7" t="s">
        <v>159</v>
      </c>
      <c r="C22" s="59">
        <f>'Previsión 36 meses'!$O$28</f>
        <v>3600</v>
      </c>
      <c r="D22" s="85">
        <f t="shared" si="0"/>
        <v>1.8150978752202094E-2</v>
      </c>
      <c r="E22" s="59">
        <f>'Previsión 36 meses'!$O$66</f>
        <v>3708</v>
      </c>
      <c r="F22" s="85">
        <f t="shared" si="1"/>
        <v>1.2325321622985429E-2</v>
      </c>
      <c r="G22" s="59">
        <f>'Previsión 36 meses'!$O$104</f>
        <v>3819.24</v>
      </c>
      <c r="H22" s="85">
        <f t="shared" si="2"/>
        <v>1.0831161855139979E-2</v>
      </c>
    </row>
    <row r="23" spans="2:8" x14ac:dyDescent="0.2">
      <c r="B23" s="7" t="s">
        <v>161</v>
      </c>
      <c r="C23" s="59">
        <f>'Previsión 36 meses'!$O$29</f>
        <v>9600</v>
      </c>
      <c r="D23" s="85">
        <f t="shared" si="0"/>
        <v>4.8402610005872253E-2</v>
      </c>
      <c r="E23" s="59">
        <f>'Previsión 36 meses'!$O$67</f>
        <v>9888</v>
      </c>
      <c r="F23" s="85">
        <f t="shared" si="1"/>
        <v>3.2867524327961146E-2</v>
      </c>
      <c r="G23" s="59">
        <f>'Previsión 36 meses'!$O$105</f>
        <v>10184.64</v>
      </c>
      <c r="H23" s="85">
        <f t="shared" si="2"/>
        <v>2.8883098280373276E-2</v>
      </c>
    </row>
    <row r="24" spans="2:8" x14ac:dyDescent="0.2">
      <c r="B24" s="7" t="s">
        <v>145</v>
      </c>
      <c r="C24" s="59">
        <f>'Previsión 36 meses'!$O$30</f>
        <v>6000</v>
      </c>
      <c r="D24" s="85">
        <f t="shared" si="0"/>
        <v>3.0251631253670155E-2</v>
      </c>
      <c r="E24" s="59">
        <f>'Previsión 36 meses'!$O$68</f>
        <v>6180</v>
      </c>
      <c r="F24" s="85">
        <f t="shared" si="1"/>
        <v>2.0542202704975716E-2</v>
      </c>
      <c r="G24" s="59">
        <f>'Previsión 36 meses'!$O$106</f>
        <v>6365.3999999999987</v>
      </c>
      <c r="H24" s="85">
        <f t="shared" si="2"/>
        <v>1.8051936425233294E-2</v>
      </c>
    </row>
    <row r="25" spans="2:8" x14ac:dyDescent="0.2">
      <c r="B25" s="86" t="s">
        <v>234</v>
      </c>
      <c r="C25" s="87">
        <f>SUM(C15:C24)</f>
        <v>207960</v>
      </c>
      <c r="D25" s="88">
        <f t="shared" si="0"/>
        <v>1.0485215392522076</v>
      </c>
      <c r="E25" s="87">
        <f>SUM(E15:E24)</f>
        <v>214198.8</v>
      </c>
      <c r="F25" s="88">
        <f t="shared" si="1"/>
        <v>0.71199274575445826</v>
      </c>
      <c r="G25" s="87">
        <f>SUM(G15:G24)</f>
        <v>220624.764</v>
      </c>
      <c r="H25" s="88">
        <f t="shared" si="2"/>
        <v>0.62568011649858613</v>
      </c>
    </row>
    <row r="26" spans="2:8" ht="20" customHeight="1" x14ac:dyDescent="0.2">
      <c r="B26" s="71" t="s">
        <v>235</v>
      </c>
    </row>
    <row r="27" spans="2:8" x14ac:dyDescent="0.2">
      <c r="B27" s="7" t="s">
        <v>236</v>
      </c>
      <c r="C27" s="59">
        <f>'Previsión 36 meses'!$O$33</f>
        <v>2380.0369439999999</v>
      </c>
      <c r="D27" s="85">
        <f>IFERROR(C27/C$13,0)</f>
        <v>1.2E-2</v>
      </c>
      <c r="E27" s="59">
        <f>'Previsión 36 meses'!$O$71</f>
        <v>3610.1289168000003</v>
      </c>
      <c r="F27" s="85">
        <f>IFERROR(E27/E$13,0)</f>
        <v>1.2000000000000002E-2</v>
      </c>
      <c r="G27" s="59">
        <f>'Previsión 36 meses'!$O$109</f>
        <v>4231.3909267499994</v>
      </c>
      <c r="H27" s="85">
        <f>IFERROR(G27/G$13,0)</f>
        <v>1.2E-2</v>
      </c>
    </row>
    <row r="28" spans="2:8" x14ac:dyDescent="0.2">
      <c r="B28" s="7" t="s">
        <v>237</v>
      </c>
      <c r="C28" s="59">
        <f>'Previsión 36 meses'!$O$34</f>
        <v>12146.75</v>
      </c>
      <c r="D28" s="85">
        <f>IFERROR(C28/C$13,0)</f>
        <v>6.124316698841966E-2</v>
      </c>
      <c r="E28" s="59">
        <f>'Previsión 36 meses'!$O$72</f>
        <v>19043.475000000002</v>
      </c>
      <c r="F28" s="85">
        <f>IFERROR(E28/E$13,0)</f>
        <v>6.3300149459083729E-2</v>
      </c>
      <c r="G28" s="59">
        <f>'Previsión 36 meses'!$O$110</f>
        <v>22463.675781249996</v>
      </c>
      <c r="H28" s="85">
        <f>IFERROR(G28/G$13,0)</f>
        <v>6.3705791793159564E-2</v>
      </c>
    </row>
    <row r="29" spans="2:8" x14ac:dyDescent="0.2">
      <c r="B29" s="86" t="s">
        <v>238</v>
      </c>
      <c r="C29" s="87">
        <f>SUM(C27:C28)</f>
        <v>14526.786943999999</v>
      </c>
      <c r="D29" s="88">
        <f>IFERROR(C29/C$13,0)</f>
        <v>7.3243166988419664E-2</v>
      </c>
      <c r="E29" s="87">
        <f>SUM(E27:E28)</f>
        <v>22653.603916800002</v>
      </c>
      <c r="F29" s="88">
        <f>IFERROR(E29/E$13,0)</f>
        <v>7.530014945908374E-2</v>
      </c>
      <c r="G29" s="87">
        <f>SUM(G27:G28)</f>
        <v>26695.066707999995</v>
      </c>
      <c r="H29" s="88">
        <f>IFERROR(G29/G$13,0)</f>
        <v>7.570579179315956E-2</v>
      </c>
    </row>
    <row r="30" spans="2:8" x14ac:dyDescent="0.2">
      <c r="B30" s="77" t="s">
        <v>210</v>
      </c>
      <c r="C30" s="78">
        <f>C13-C25-C29</f>
        <v>-24150.374944000017</v>
      </c>
      <c r="D30" s="89">
        <f>IFERROR(C30/C$13,0)</f>
        <v>-0.12176470624062725</v>
      </c>
      <c r="E30" s="78">
        <f>E13-E25-E29</f>
        <v>63991.672483199975</v>
      </c>
      <c r="F30" s="89">
        <f>IFERROR(E30/E$13,0)</f>
        <v>0.21270710478645802</v>
      </c>
      <c r="G30" s="78">
        <f>G13-G25-G29</f>
        <v>105296.07985449996</v>
      </c>
      <c r="H30" s="89">
        <f>IFERROR(G30/G$13,0)</f>
        <v>0.29861409170825431</v>
      </c>
    </row>
    <row r="31" spans="2:8" x14ac:dyDescent="0.2">
      <c r="B31" s="7" t="s">
        <v>253</v>
      </c>
      <c r="C31" s="90">
        <f>IFERROR(C30/C13,0)</f>
        <v>-0.12176470624062725</v>
      </c>
      <c r="D31" s="85"/>
      <c r="E31" s="90">
        <f>IFERROR(E30/E13,0)</f>
        <v>0.21270710478645802</v>
      </c>
      <c r="F31" s="85"/>
      <c r="G31" s="90">
        <f>IFERROR(G30/G13,0)</f>
        <v>0.29861409170825431</v>
      </c>
      <c r="H31" s="85"/>
    </row>
    <row r="33" spans="2:8" x14ac:dyDescent="0.2">
      <c r="B33" s="7" t="s">
        <v>254</v>
      </c>
      <c r="C33" s="59">
        <f>Supuestos!$C$31</f>
        <v>6000</v>
      </c>
      <c r="D33" s="85">
        <f>IFERROR(C33/C$13,0)</f>
        <v>3.0251631253670155E-2</v>
      </c>
      <c r="E33" s="59">
        <f>0</f>
        <v>0</v>
      </c>
      <c r="F33" s="85">
        <f>IFERROR(E33/E$13,0)</f>
        <v>0</v>
      </c>
      <c r="G33" s="59">
        <f>0</f>
        <v>0</v>
      </c>
      <c r="H33" s="85">
        <f>IFERROR(G33/G$13,0)</f>
        <v>0</v>
      </c>
    </row>
    <row r="34" spans="2:8" x14ac:dyDescent="0.2">
      <c r="B34" s="7" t="s">
        <v>255</v>
      </c>
      <c r="C34" s="59">
        <f>IF(Supuestos!$C$35&gt;=1,IFERROR((Supuestos!$C$33-Supuestos!$C$25-Supuestos!$C$31)/Supuestos!$C$35,0),0)</f>
        <v>16300</v>
      </c>
      <c r="D34" s="85">
        <f>IFERROR(C34/C$13,0)</f>
        <v>8.2183598239137262E-2</v>
      </c>
      <c r="E34" s="59">
        <f>IF(Supuestos!$C$35&gt;=2,IFERROR((Supuestos!$C$33-Supuestos!$C$25-Supuestos!$C$31)/Supuestos!$C$35,0),0)</f>
        <v>16300</v>
      </c>
      <c r="F34" s="85">
        <f>IFERROR(E34/E$13,0)</f>
        <v>5.4180890629628504E-2</v>
      </c>
      <c r="G34" s="59">
        <f>IF(Supuestos!$C$35&gt;=3,IFERROR((Supuestos!$C$33-Supuestos!$C$25-Supuestos!$C$31)/Supuestos!$C$35,0),0)</f>
        <v>16300</v>
      </c>
      <c r="H34" s="85">
        <f>IFERROR(G34/G$13,0)</f>
        <v>4.6225934541631757E-2</v>
      </c>
    </row>
    <row r="35" spans="2:8" x14ac:dyDescent="0.2">
      <c r="B35" s="7" t="s">
        <v>256</v>
      </c>
      <c r="C35" s="59">
        <f>'Previsión 36 meses'!$O$39</f>
        <v>8880.923437010124</v>
      </c>
      <c r="D35" s="85">
        <f>IFERROR(C35/C$13,0)</f>
        <v>4.4777070168084541E-2</v>
      </c>
      <c r="E35" s="59">
        <f>'Previsión 36 meses'!$O$77</f>
        <v>7879.7839053053303</v>
      </c>
      <c r="F35" s="85">
        <f>IFERROR(E35/E$13,0)</f>
        <v>2.6192252144690495E-2</v>
      </c>
      <c r="G35" s="59">
        <f>'Previsión 36 meses'!$O$115</f>
        <v>6643.4015053169824</v>
      </c>
      <c r="H35" s="85">
        <f>IFERROR(G35/G$13,0)</f>
        <v>1.884033393365403E-2</v>
      </c>
    </row>
    <row r="36" spans="2:8" ht="24" customHeight="1" x14ac:dyDescent="0.2">
      <c r="B36" s="91" t="s">
        <v>211</v>
      </c>
      <c r="C36" s="92">
        <f>C30-C33-C34-C35</f>
        <v>-55331.298381010143</v>
      </c>
      <c r="D36" s="93">
        <f>IFERROR(C36/C$13,0)</f>
        <v>-0.27897700590151925</v>
      </c>
      <c r="E36" s="92">
        <f>E30-E33-E34-E35</f>
        <v>39811.888577894642</v>
      </c>
      <c r="F36" s="93">
        <f>IFERROR(E36/E$13,0)</f>
        <v>0.13233396201213901</v>
      </c>
      <c r="G36" s="92">
        <f>G30-G33-G34-G35</f>
        <v>82352.67834918297</v>
      </c>
      <c r="H36" s="93">
        <f>IFERROR(G36/G$13,0)</f>
        <v>0.23354782323296849</v>
      </c>
    </row>
    <row r="37" spans="2:8" ht="18" customHeight="1" x14ac:dyDescent="0.2">
      <c r="B37" s="157" t="s">
        <v>257</v>
      </c>
      <c r="C37" s="128"/>
      <c r="D37" s="128"/>
      <c r="E37" s="128"/>
      <c r="F37" s="128"/>
      <c r="G37" s="128"/>
      <c r="H37" s="128"/>
    </row>
    <row r="38" spans="2:8" ht="18" customHeight="1" x14ac:dyDescent="0.2">
      <c r="B38" s="128"/>
      <c r="C38" s="128"/>
      <c r="D38" s="128"/>
      <c r="E38" s="128"/>
      <c r="F38" s="128"/>
      <c r="G38" s="128"/>
      <c r="H38" s="128"/>
    </row>
    <row r="40" spans="2:8" ht="22" customHeight="1" x14ac:dyDescent="0.2">
      <c r="B40" s="94" t="s">
        <v>258</v>
      </c>
      <c r="C40" s="26"/>
      <c r="D40" s="26"/>
      <c r="E40" s="26"/>
      <c r="F40" s="26"/>
      <c r="G40" s="26"/>
      <c r="H40" s="26"/>
    </row>
    <row r="41" spans="2:8" x14ac:dyDescent="0.2">
      <c r="B41" s="7" t="s">
        <v>211</v>
      </c>
      <c r="C41" s="59">
        <f>C36</f>
        <v>-55331.298381010143</v>
      </c>
      <c r="D41" s="95"/>
      <c r="E41" s="59">
        <f>E36</f>
        <v>39811.888577894642</v>
      </c>
      <c r="F41" s="95"/>
      <c r="G41" s="59">
        <f>G36</f>
        <v>82352.67834918297</v>
      </c>
      <c r="H41" s="95"/>
    </row>
    <row r="42" spans="2:8" x14ac:dyDescent="0.2">
      <c r="B42" s="7" t="s">
        <v>259</v>
      </c>
      <c r="C42" s="59">
        <f>C34</f>
        <v>16300</v>
      </c>
      <c r="D42" s="95"/>
      <c r="E42" s="59">
        <f>E34</f>
        <v>16300</v>
      </c>
      <c r="F42" s="95"/>
      <c r="G42" s="59">
        <f>G34</f>
        <v>16300</v>
      </c>
      <c r="H42" s="95"/>
    </row>
    <row r="43" spans="2:8" x14ac:dyDescent="0.2">
      <c r="B43" s="7" t="s">
        <v>260</v>
      </c>
      <c r="C43" s="59">
        <f>C33</f>
        <v>6000</v>
      </c>
      <c r="D43" s="95"/>
      <c r="E43" s="59">
        <f>E33</f>
        <v>0</v>
      </c>
      <c r="F43" s="95"/>
      <c r="G43" s="59">
        <f>G33</f>
        <v>0</v>
      </c>
      <c r="H43" s="95"/>
    </row>
    <row r="44" spans="2:8" x14ac:dyDescent="0.2">
      <c r="B44" s="7" t="s">
        <v>261</v>
      </c>
      <c r="C44" s="59">
        <f>-'Previsión 36 meses'!$O$40</f>
        <v>-9581.8792076152604</v>
      </c>
      <c r="D44" s="95"/>
      <c r="E44" s="59">
        <f>-'Previsión 36 meses'!$O$78</f>
        <v>-20045.821383945437</v>
      </c>
      <c r="F44" s="95"/>
      <c r="G44" s="59">
        <f>-'Previsión 36 meses'!$O$116</f>
        <v>-21282.203783933779</v>
      </c>
      <c r="H44" s="95"/>
    </row>
    <row r="45" spans="2:8" x14ac:dyDescent="0.2">
      <c r="B45" s="86" t="s">
        <v>262</v>
      </c>
      <c r="C45" s="87">
        <f>SUM(C41:C44)</f>
        <v>-42613.177588625404</v>
      </c>
      <c r="D45" s="96"/>
      <c r="E45" s="87">
        <f>SUM(E41:E44)</f>
        <v>36066.067193949202</v>
      </c>
      <c r="F45" s="96"/>
      <c r="G45" s="87">
        <f>SUM(G41:G44)</f>
        <v>77370.474565249198</v>
      </c>
      <c r="H45" s="96"/>
    </row>
    <row r="46" spans="2:8" x14ac:dyDescent="0.2">
      <c r="B46" s="97" t="s">
        <v>263</v>
      </c>
      <c r="C46" s="98" t="str">
        <f>IF(ABS(C45-'Previsión 36 meses'!$O$42)&lt;1,"Cuadra","Revisa")</f>
        <v>Cuadra</v>
      </c>
      <c r="E46" s="98" t="str">
        <f>IF(ABS(E45-'Previsión 36 meses'!$O$80)&lt;1,"Cuadra","Revisa")</f>
        <v>Cuadra</v>
      </c>
      <c r="G46" s="98" t="str">
        <f>IF(ABS(G45-'Previsión 36 meses'!$O$118)&lt;1,"Cuadra","Revisa")</f>
        <v>Cuadra</v>
      </c>
    </row>
  </sheetData>
  <mergeCells count="1">
    <mergeCell ref="B37:H38"/>
  </mergeCells>
  <conditionalFormatting sqref="C30 E30 G30">
    <cfRule type="cellIs" dxfId="15" priority="1" operator="lessThan">
      <formula>0</formula>
    </cfRule>
    <cfRule type="cellIs" dxfId="14" priority="2" operator="greaterThanOrEqual">
      <formula>0</formula>
    </cfRule>
  </conditionalFormatting>
  <conditionalFormatting sqref="C36 E36 G36">
    <cfRule type="cellIs" dxfId="13" priority="3" operator="lessThan">
      <formula>0</formula>
    </cfRule>
    <cfRule type="cellIs" dxfId="12" priority="4" operator="greaterThanOrEqual">
      <formula>0</formula>
    </cfRule>
  </conditionalFormatting>
  <conditionalFormatting sqref="C46:G46">
    <cfRule type="cellIs" dxfId="11" priority="5" operator="equal">
      <formula>"Revisa"</formula>
    </cfRule>
  </conditionalFormatting>
  <printOptions horizontalCentered="1"/>
  <pageMargins left="0.45" right="0.45" top="0.6" bottom="0.6" header="0.25" footer="0.25"/>
  <pageSetup paperSize="9" orientation="portrait"/>
  <headerFooter>
    <oddHeader>&amp;L&amp;"Arial,Bold"&amp;8 &amp;K5C697D&amp;A&amp;R&amp;"Arial,Regular"&amp;8 &amp;K5C697DPlan de viabilidad</oddHeader>
    <oddFooter>&amp;L&amp;"Arial,Regular"&amp;8 &amp;K5C697DPlantilla gratuita de GymGym · gymgym.es/recursos&amp;R&amp;"Arial,Regular"&amp;8 &amp;K5C697DPágina &amp;P de &amp;N</oddFooter>
    <evenHeader>&amp;L&amp;"Arial,Bold"&amp;8 &amp;K5C697D&amp;A&amp;R&amp;"Arial,Regular"&amp;8 &amp;K5C697DPlan de viabilidad</evenHeader>
    <evenFooter>&amp;L&amp;"Arial,Regular"&amp;8 &amp;K5C697DPlantilla gratuita de GymGym · gymgym.es/recursos&amp;R&amp;"Arial,Regular"&amp;8 &amp;K5C697DPágina &amp;P de &amp;N</evenFooter>
    <firstHeader>&amp;L&amp;"Arial,Bold"&amp;8 &amp;K5C697D&amp;A&amp;R&amp;"Arial,Regular"&amp;8 &amp;K5C697DPlan de viabilidad</firstHeader>
    <firstFooter>&amp;L&amp;"Arial,Regular"&amp;8 &amp;K5C697DPlantilla gratuita de GymGym · gymgym.es/recursos&amp;R&amp;"Arial,Regular"&amp;8 &amp;K5C697DPágina &amp;P de &amp;N</firstFooter>
  </headerFooter>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4F82EC"/>
    <pageSetUpPr fitToPage="1"/>
  </sheetPr>
  <dimension ref="B1:DS93"/>
  <sheetViews>
    <sheetView showGridLines="0" workbookViewId="0">
      <pane ySplit="3" topLeftCell="A4" activePane="bottomLeft" state="frozen"/>
      <selection pane="bottomLeft"/>
    </sheetView>
  </sheetViews>
  <sheetFormatPr baseColWidth="10" defaultColWidth="8.83203125" defaultRowHeight="15" outlineLevelCol="1" x14ac:dyDescent="0.2"/>
  <cols>
    <col min="1" max="1" width="2.5" customWidth="1"/>
    <col min="2" max="2" width="44" customWidth="1"/>
    <col min="3" max="10" width="13" customWidth="1"/>
    <col min="11" max="12" width="2.5" customWidth="1"/>
    <col min="13" max="123" width="13" hidden="1" customWidth="1" outlineLevel="1"/>
  </cols>
  <sheetData>
    <row r="1" spans="2:10" ht="34" customHeight="1" x14ac:dyDescent="0.25">
      <c r="B1" s="21" t="s">
        <v>8</v>
      </c>
    </row>
    <row r="2" spans="2:10" ht="20" customHeight="1" x14ac:dyDescent="0.2">
      <c r="B2" s="19" t="s">
        <v>264</v>
      </c>
    </row>
    <row r="3" spans="2:10" ht="5" customHeight="1" x14ac:dyDescent="0.2">
      <c r="B3" s="2"/>
      <c r="C3" s="2"/>
      <c r="D3" s="2"/>
      <c r="E3" s="2"/>
      <c r="F3" s="2"/>
      <c r="G3" s="2"/>
      <c r="H3" s="2"/>
      <c r="I3" s="2"/>
      <c r="J3" s="2"/>
    </row>
    <row r="5" spans="2:10" ht="26" customHeight="1" x14ac:dyDescent="0.2">
      <c r="B5" s="25" t="s">
        <v>265</v>
      </c>
      <c r="C5" s="26"/>
      <c r="D5" s="26"/>
      <c r="E5" s="26"/>
      <c r="F5" s="26"/>
      <c r="G5" s="26"/>
      <c r="H5" s="26"/>
      <c r="I5" s="26"/>
      <c r="J5" s="26"/>
    </row>
    <row r="6" spans="2:10" ht="22" customHeight="1" x14ac:dyDescent="0.2">
      <c r="B6" s="32" t="s">
        <v>266</v>
      </c>
      <c r="C6" s="4" t="s">
        <v>204</v>
      </c>
      <c r="D6" s="4" t="s">
        <v>205</v>
      </c>
      <c r="E6" s="4" t="s">
        <v>206</v>
      </c>
    </row>
    <row r="7" spans="2:10" x14ac:dyDescent="0.2">
      <c r="B7" s="7" t="s">
        <v>267</v>
      </c>
      <c r="C7" s="62">
        <f>Supuestos!$C$45*Supuestos!$F$14*(1+Supuestos!$C$112)^0</f>
        <v>36.735999999999997</v>
      </c>
      <c r="D7" s="62">
        <f>Supuestos!$C$45*Supuestos!$F$14*(1+Supuestos!$C$112)^1</f>
        <v>37.654399999999995</v>
      </c>
      <c r="E7" s="62">
        <f>Supuestos!$C$45*Supuestos!$F$14*(1+Supuestos!$C$112)^2</f>
        <v>38.595759999999991</v>
      </c>
      <c r="F7" s="159" t="s">
        <v>268</v>
      </c>
      <c r="G7" s="128"/>
      <c r="H7" s="128"/>
      <c r="I7" s="128"/>
      <c r="J7" s="128"/>
    </row>
    <row r="8" spans="2:10" x14ac:dyDescent="0.2">
      <c r="B8" s="7" t="s">
        <v>269</v>
      </c>
      <c r="C8" s="62">
        <f>(Supuestos!$C$48+Supuestos!$C$49)*(1+Supuestos!$C$112)^0</f>
        <v>5.5</v>
      </c>
      <c r="D8" s="62">
        <f>(Supuestos!$C$48+Supuestos!$C$49)*(1+Supuestos!$C$112)^1</f>
        <v>5.6374999999999993</v>
      </c>
      <c r="E8" s="62">
        <f>(Supuestos!$C$48+Supuestos!$C$49)*(1+Supuestos!$C$112)^2</f>
        <v>5.7784374999999999</v>
      </c>
      <c r="F8" s="128"/>
      <c r="G8" s="128"/>
      <c r="H8" s="128"/>
      <c r="I8" s="128"/>
      <c r="J8" s="128"/>
    </row>
    <row r="9" spans="2:10" x14ac:dyDescent="0.2">
      <c r="B9" s="65" t="s">
        <v>270</v>
      </c>
      <c r="C9" s="48">
        <f>C7+C8</f>
        <v>42.235999999999997</v>
      </c>
      <c r="D9" s="48">
        <f>D7+D8</f>
        <v>43.291899999999998</v>
      </c>
      <c r="E9" s="48">
        <f>E7+E8</f>
        <v>44.374197499999994</v>
      </c>
      <c r="F9" s="128"/>
      <c r="G9" s="128"/>
      <c r="H9" s="128"/>
      <c r="I9" s="128"/>
      <c r="J9" s="128"/>
    </row>
    <row r="10" spans="2:10" x14ac:dyDescent="0.2">
      <c r="B10" s="7" t="s">
        <v>271</v>
      </c>
      <c r="C10" s="62">
        <f>C9*Supuestos!$C$98</f>
        <v>0.50683199999999995</v>
      </c>
      <c r="D10" s="62">
        <f>D9*Supuestos!$C$98</f>
        <v>0.51950280000000004</v>
      </c>
      <c r="E10" s="62">
        <f>E9*Supuestos!$C$98</f>
        <v>0.53249036999999999</v>
      </c>
      <c r="F10" s="128"/>
      <c r="G10" s="128"/>
      <c r="H10" s="128"/>
      <c r="I10" s="128"/>
      <c r="J10" s="128"/>
    </row>
    <row r="11" spans="2:10" x14ac:dyDescent="0.2">
      <c r="B11" s="7" t="s">
        <v>272</v>
      </c>
      <c r="C11" s="62">
        <f>C8*Supuestos!$C$99</f>
        <v>2.75</v>
      </c>
      <c r="D11" s="62">
        <f>D8*Supuestos!$C$99</f>
        <v>2.8187499999999996</v>
      </c>
      <c r="E11" s="62">
        <f>E8*Supuestos!$C$99</f>
        <v>2.8892187499999999</v>
      </c>
      <c r="F11" s="128"/>
      <c r="G11" s="128"/>
      <c r="H11" s="128"/>
      <c r="I11" s="128"/>
      <c r="J11" s="128"/>
    </row>
    <row r="12" spans="2:10" x14ac:dyDescent="0.2">
      <c r="B12" s="65" t="s">
        <v>273</v>
      </c>
      <c r="C12" s="48">
        <f>C9-C10-C11</f>
        <v>38.979167999999994</v>
      </c>
      <c r="D12" s="48">
        <f>D9-D10-D11</f>
        <v>39.953647199999999</v>
      </c>
      <c r="E12" s="48">
        <f>E9-E10-E11</f>
        <v>40.952488379999998</v>
      </c>
      <c r="F12" s="128"/>
      <c r="G12" s="128"/>
      <c r="H12" s="128"/>
      <c r="I12" s="128"/>
      <c r="J12" s="128"/>
    </row>
    <row r="13" spans="2:10" x14ac:dyDescent="0.2">
      <c r="B13" s="7" t="s">
        <v>274</v>
      </c>
      <c r="C13" s="40">
        <f>Supuestos!$C$95*(1+Supuestos!$C$113)^0</f>
        <v>17330</v>
      </c>
      <c r="D13" s="40">
        <f>Supuestos!$C$95*(1+Supuestos!$C$113)^1</f>
        <v>17849.900000000001</v>
      </c>
      <c r="E13" s="40">
        <f>Supuestos!$C$95*(1+Supuestos!$C$113)^2</f>
        <v>18385.397000000001</v>
      </c>
    </row>
    <row r="14" spans="2:10" x14ac:dyDescent="0.2">
      <c r="B14" s="99" t="s">
        <v>275</v>
      </c>
      <c r="C14" s="100">
        <f>IFERROR(ROUNDUP(C13/C12,0),0)</f>
        <v>445</v>
      </c>
      <c r="D14" s="100">
        <f>IFERROR(ROUNDUP(D13/D12,0),0)</f>
        <v>447</v>
      </c>
      <c r="E14" s="100">
        <f>IFERROR(ROUNDUP(E13/E12,0),0)</f>
        <v>449</v>
      </c>
    </row>
    <row r="15" spans="2:10" x14ac:dyDescent="0.2">
      <c r="B15" s="7" t="s">
        <v>276</v>
      </c>
      <c r="C15" s="40">
        <f>'Previsión 36 meses'!$O$38/12</f>
        <v>1538.5668870521149</v>
      </c>
      <c r="D15" s="40">
        <f>'Previsión 36 meses'!$O$76/12</f>
        <v>2327.1337741042303</v>
      </c>
      <c r="E15" s="40">
        <f>'Previsión 36 meses'!$O$114/12</f>
        <v>2327.1337741042303</v>
      </c>
    </row>
    <row r="16" spans="2:10" x14ac:dyDescent="0.2">
      <c r="B16" s="65" t="s">
        <v>277</v>
      </c>
      <c r="C16" s="101">
        <f>IFERROR(ROUNDUP((C13+C15)/C12,0),0)</f>
        <v>485</v>
      </c>
      <c r="D16" s="101">
        <f>IFERROR(ROUNDUP((D13+D15)/D12,0),0)</f>
        <v>506</v>
      </c>
      <c r="E16" s="101">
        <f>IFERROR(ROUNDUP((E13+E15)/E12,0),0)</f>
        <v>506</v>
      </c>
    </row>
    <row r="17" spans="2:10" x14ac:dyDescent="0.2">
      <c r="B17" s="7" t="s">
        <v>278</v>
      </c>
      <c r="C17" s="56">
        <f>'Previsión 36 meses'!$O$14</f>
        <v>430</v>
      </c>
      <c r="D17" s="56">
        <f>'Previsión 36 meses'!$O$52</f>
        <v>574</v>
      </c>
      <c r="E17" s="56">
        <f>'Previsión 36 meses'!$O$90</f>
        <v>626</v>
      </c>
    </row>
    <row r="19" spans="2:10" ht="26" customHeight="1" x14ac:dyDescent="0.2">
      <c r="B19" s="25" t="s">
        <v>279</v>
      </c>
      <c r="C19" s="26"/>
      <c r="D19" s="26"/>
      <c r="E19" s="26"/>
      <c r="F19" s="26"/>
      <c r="G19" s="26"/>
      <c r="H19" s="26"/>
      <c r="I19" s="26"/>
      <c r="J19" s="26"/>
    </row>
    <row r="20" spans="2:10" ht="16" x14ac:dyDescent="0.2">
      <c r="B20" s="65" t="s">
        <v>280</v>
      </c>
      <c r="C20" s="102">
        <f>IFERROR(MATCH(1,$BW$56:$BW$91,0),"")</f>
        <v>9</v>
      </c>
      <c r="D20" s="158" t="str">
        <f>IF(ISNUMBER(C20),"Primer mes con resultado operativo (EBITDA) ≥ 0: "&amp;CHOOSE(MONTH(DATE(YEAR(Supuestos!$C$8),MONTH(Supuestos!$C$8)+(C20)-1,1)),"enero","febrero","marzo","abril","mayo","junio","julio","agosto","septiembre","octubre","noviembre","diciembre")&amp;" de "&amp;YEAR(DATE(YEAR(Supuestos!$C$8),MONTH(Supuestos!$C$8)+(C20)-1,1))&amp;".","No llegas a cubrir gastos en los 36 meses.")</f>
        <v>Primer mes con resultado operativo (EBITDA) ≥ 0: mayo de 2028.</v>
      </c>
      <c r="E20" s="142"/>
      <c r="F20" s="142"/>
      <c r="G20" s="142"/>
      <c r="H20" s="142"/>
      <c r="I20" s="142"/>
      <c r="J20" s="142"/>
    </row>
    <row r="21" spans="2:10" ht="16" x14ac:dyDescent="0.2">
      <c r="B21" s="65" t="s">
        <v>281</v>
      </c>
      <c r="C21" s="103">
        <f>MIN($I$55:$I$91)</f>
        <v>11186.822411374604</v>
      </c>
    </row>
    <row r="22" spans="2:10" x14ac:dyDescent="0.2">
      <c r="B22" s="7" t="s">
        <v>282</v>
      </c>
      <c r="C22" s="104">
        <f>MATCH(C21,$I$55:$I$91,0)-1</f>
        <v>12</v>
      </c>
      <c r="D22" s="158" t="str">
        <f>IF(C22=0,"El día que abres.",CHOOSE(MONTH(DATE(YEAR(Supuestos!$C$8),MONTH(Supuestos!$C$8)+(C22)-1,1)),"enero","febrero","marzo","abril","mayo","junio","julio","agosto","septiembre","octubre","noviembre","diciembre")&amp;" de "&amp;YEAR(DATE(YEAR(Supuestos!$C$8),MONTH(Supuestos!$C$8)+(C22)-1,1))&amp;".")</f>
        <v>agosto de 2028.</v>
      </c>
      <c r="E22" s="142"/>
      <c r="F22" s="142"/>
      <c r="G22" s="142"/>
      <c r="H22" s="142"/>
      <c r="I22" s="142"/>
      <c r="J22" s="142"/>
    </row>
    <row r="23" spans="2:10" x14ac:dyDescent="0.2">
      <c r="B23" s="7" t="s">
        <v>283</v>
      </c>
      <c r="C23" s="40">
        <f>Supuestos!$C$33</f>
        <v>176200</v>
      </c>
      <c r="D23" s="158" t="s">
        <v>284</v>
      </c>
      <c r="E23" s="142"/>
      <c r="F23" s="142"/>
      <c r="G23" s="142"/>
      <c r="H23" s="142"/>
      <c r="I23" s="142"/>
      <c r="J23" s="142"/>
    </row>
    <row r="24" spans="2:10" x14ac:dyDescent="0.2">
      <c r="B24" s="7" t="s">
        <v>285</v>
      </c>
      <c r="C24" s="40">
        <f>Supuestos!$C$102+Supuestos!$C$103-C21</f>
        <v>218813.1775886254</v>
      </c>
      <c r="D24" s="158" t="s">
        <v>286</v>
      </c>
      <c r="E24" s="142"/>
      <c r="F24" s="142"/>
      <c r="G24" s="142"/>
      <c r="H24" s="142"/>
      <c r="I24" s="142"/>
      <c r="J24" s="142"/>
    </row>
    <row r="25" spans="2:10" x14ac:dyDescent="0.2">
      <c r="B25" s="7" t="s">
        <v>92</v>
      </c>
      <c r="C25" s="40">
        <f>Supuestos!$C$34</f>
        <v>15000</v>
      </c>
      <c r="D25" s="158" t="s">
        <v>287</v>
      </c>
      <c r="E25" s="142"/>
      <c r="F25" s="142"/>
      <c r="G25" s="142"/>
      <c r="H25" s="142"/>
      <c r="I25" s="142"/>
      <c r="J25" s="142"/>
    </row>
    <row r="26" spans="2:10" ht="16" x14ac:dyDescent="0.2">
      <c r="B26" s="65" t="s">
        <v>288</v>
      </c>
      <c r="C26" s="105">
        <f>C24+C25</f>
        <v>233813.1775886254</v>
      </c>
      <c r="D26" s="158" t="s">
        <v>289</v>
      </c>
      <c r="E26" s="142"/>
      <c r="F26" s="142"/>
      <c r="G26" s="142"/>
      <c r="H26" s="142"/>
      <c r="I26" s="142"/>
      <c r="J26" s="142"/>
    </row>
    <row r="27" spans="2:10" x14ac:dyDescent="0.2">
      <c r="B27" s="7" t="s">
        <v>290</v>
      </c>
      <c r="C27" s="40">
        <f>Supuestos!$C$102+Supuestos!$C$103</f>
        <v>230000</v>
      </c>
    </row>
    <row r="28" spans="2:10" x14ac:dyDescent="0.2">
      <c r="B28" s="65" t="s">
        <v>291</v>
      </c>
      <c r="C28" s="63">
        <f>C27-C26</f>
        <v>-3813.1775886254036</v>
      </c>
      <c r="D28" s="158" t="str">
        <f>IF(C28&gt;=0,"Tu financiación cubre el peor mes y el colchón.","Te falta para cubrir el peor mes con tu colchón: más financiación o menos inversión.")</f>
        <v>Te falta para cubrir el peor mes con tu colchón: más financiación o menos inversión.</v>
      </c>
      <c r="E28" s="142"/>
      <c r="F28" s="142"/>
      <c r="G28" s="142"/>
      <c r="H28" s="142"/>
      <c r="I28" s="142"/>
      <c r="J28" s="142"/>
    </row>
    <row r="29" spans="2:10" ht="16" x14ac:dyDescent="0.2">
      <c r="B29" s="65" t="s">
        <v>292</v>
      </c>
      <c r="C29" s="106">
        <f>IFERROR(MATCH(1,$V$56:$V$91,0),IF('Previsión 36 meses'!$N$112&gt;0,IF(36+ROUNDUP((C23-$J$91)/'Previsión 36 meses'!$N$112,0)&lt;=120,36+ROUNDUP((C23-$J$91)/'Previsión 36 meses'!$N$112,0),""),""))</f>
        <v>41</v>
      </c>
      <c r="D29" s="158" t="str">
        <f>IF(C29="",IF('Previsión 36 meses'!$N$112&gt;0,"Más de 10 años al ritmo del mes 36: revisa el plan.","Con estos supuestos no la recuperas."),IF(ISNUMBER(MATCH(1,$V$56:$V$91,0)),"El resultado operativo acumulado iguala la inversión en "&amp;CHOOSE(MONTH(DATE(YEAR(Supuestos!$C$8),MONTH(Supuestos!$C$8)+(C29)-1,1)),"enero","febrero","marzo","abril","mayo","junio","julio","agosto","septiembre","octubre","noviembre","diciembre")&amp;" de "&amp;YEAR(DATE(YEAR(Supuestos!$C$8),MONTH(Supuestos!$C$8)+(C29)-1,1))&amp;".","Estimado: más allá de los 36 meses, al ritmo del mes 36."))</f>
        <v>Estimado: más allá de los 36 meses, al ritmo del mes 36.</v>
      </c>
      <c r="E29" s="142"/>
      <c r="F29" s="142"/>
      <c r="G29" s="142"/>
      <c r="H29" s="142"/>
      <c r="I29" s="142"/>
      <c r="J29" s="142"/>
    </row>
    <row r="31" spans="2:10" ht="26" customHeight="1" x14ac:dyDescent="0.2">
      <c r="B31" s="25" t="s">
        <v>293</v>
      </c>
      <c r="C31" s="26"/>
      <c r="D31" s="26"/>
      <c r="E31" s="26"/>
      <c r="F31" s="26"/>
      <c r="G31" s="26"/>
      <c r="H31" s="26"/>
      <c r="I31" s="26"/>
      <c r="J31" s="26"/>
    </row>
    <row r="32" spans="2:10" ht="26" customHeight="1" x14ac:dyDescent="0.2">
      <c r="B32" s="133" t="s">
        <v>294</v>
      </c>
      <c r="C32" s="128"/>
      <c r="D32" s="128"/>
      <c r="E32" s="128"/>
      <c r="F32" s="128"/>
      <c r="G32" s="128"/>
      <c r="H32" s="128"/>
      <c r="I32" s="128"/>
      <c r="J32" s="128"/>
    </row>
    <row r="34" spans="2:10" ht="20" customHeight="1" x14ac:dyDescent="0.2">
      <c r="B34" s="107" t="s">
        <v>280</v>
      </c>
    </row>
    <row r="35" spans="2:10" ht="22" customHeight="1" x14ac:dyDescent="0.2">
      <c r="B35" s="32" t="s">
        <v>295</v>
      </c>
      <c r="C35" s="108">
        <v>-0.1</v>
      </c>
      <c r="D35" s="108">
        <v>-0.05</v>
      </c>
      <c r="E35" s="108">
        <v>0</v>
      </c>
      <c r="F35" s="108">
        <v>0.05</v>
      </c>
      <c r="G35" s="108">
        <v>0.1</v>
      </c>
    </row>
    <row r="36" spans="2:10" x14ac:dyDescent="0.2">
      <c r="B36" s="109">
        <v>-0.2</v>
      </c>
      <c r="C36" s="110">
        <f>IFERROR(MATCH(1,$AA$56:$AA$91,0),"&gt; 36")</f>
        <v>21</v>
      </c>
      <c r="D36" s="110">
        <f>IFERROR(MATCH(1,$AE$56:$AE$91,0),"&gt; 36")</f>
        <v>17</v>
      </c>
      <c r="E36" s="110">
        <f>IFERROR(MATCH(1,$AI$56:$AI$91,0),"&gt; 36")</f>
        <v>17</v>
      </c>
      <c r="F36" s="110">
        <f>IFERROR(MATCH(1,$AM$56:$AM$91,0),"&gt; 36")</f>
        <v>14</v>
      </c>
      <c r="G36" s="110">
        <f>IFERROR(MATCH(1,$AQ$56:$AQ$91,0),"&gt; 36")</f>
        <v>13</v>
      </c>
      <c r="H36" s="159" t="s">
        <v>296</v>
      </c>
      <c r="I36" s="128"/>
      <c r="J36" s="128"/>
    </row>
    <row r="37" spans="2:10" x14ac:dyDescent="0.2">
      <c r="B37" s="109">
        <v>-0.1</v>
      </c>
      <c r="C37" s="110">
        <f>IFERROR(MATCH(1,$AU$56:$AU$91,0),"&gt; 36")</f>
        <v>15</v>
      </c>
      <c r="D37" s="110">
        <f>IFERROR(MATCH(1,$AY$56:$AY$91,0),"&gt; 36")</f>
        <v>14</v>
      </c>
      <c r="E37" s="110">
        <f>IFERROR(MATCH(1,$BC$56:$BC$91,0),"&gt; 36")</f>
        <v>13</v>
      </c>
      <c r="F37" s="110">
        <f>IFERROR(MATCH(1,$BG$56:$BG$91,0),"&gt; 36")</f>
        <v>13</v>
      </c>
      <c r="G37" s="110">
        <f>IFERROR(MATCH(1,$BK$56:$BK$91,0),"&gt; 36")</f>
        <v>13</v>
      </c>
      <c r="H37" s="128"/>
      <c r="I37" s="128"/>
      <c r="J37" s="128"/>
    </row>
    <row r="38" spans="2:10" x14ac:dyDescent="0.2">
      <c r="B38" s="109">
        <v>0</v>
      </c>
      <c r="C38" s="110">
        <f>IFERROR(MATCH(1,$BO$56:$BO$91,0),"&gt; 36")</f>
        <v>13</v>
      </c>
      <c r="D38" s="110">
        <f>IFERROR(MATCH(1,$BS$56:$BS$91,0),"&gt; 36")</f>
        <v>13</v>
      </c>
      <c r="E38" s="111">
        <f>IFERROR(MATCH(1,$BW$56:$BW$91,0),"&gt; 36")</f>
        <v>9</v>
      </c>
      <c r="F38" s="110">
        <f>IFERROR(MATCH(1,$CA$56:$CA$91,0),"&gt; 36")</f>
        <v>8</v>
      </c>
      <c r="G38" s="110">
        <f>IFERROR(MATCH(1,$CE$56:$CE$91,0),"&gt; 36")</f>
        <v>7</v>
      </c>
      <c r="H38" s="128"/>
      <c r="I38" s="128"/>
      <c r="J38" s="128"/>
    </row>
    <row r="39" spans="2:10" x14ac:dyDescent="0.2">
      <c r="B39" s="109">
        <v>0.1</v>
      </c>
      <c r="C39" s="110">
        <f>IFERROR(MATCH(1,$CI$56:$CI$91,0),"&gt; 36")</f>
        <v>9</v>
      </c>
      <c r="D39" s="110">
        <f>IFERROR(MATCH(1,$CM$56:$CM$91,0),"&gt; 36")</f>
        <v>7</v>
      </c>
      <c r="E39" s="110">
        <f>IFERROR(MATCH(1,$CQ$56:$CQ$91,0),"&gt; 36")</f>
        <v>6</v>
      </c>
      <c r="F39" s="110">
        <f>IFERROR(MATCH(1,$CU$56:$CU$91,0),"&gt; 36")</f>
        <v>5</v>
      </c>
      <c r="G39" s="110">
        <f>IFERROR(MATCH(1,$CY$56:$CY$91,0),"&gt; 36")</f>
        <v>5</v>
      </c>
      <c r="H39" s="128"/>
      <c r="I39" s="128"/>
      <c r="J39" s="128"/>
    </row>
    <row r="40" spans="2:10" x14ac:dyDescent="0.2">
      <c r="B40" s="109">
        <v>0.2</v>
      </c>
      <c r="C40" s="110">
        <f>IFERROR(MATCH(1,$DC$56:$DC$91,0),"&gt; 36")</f>
        <v>6</v>
      </c>
      <c r="D40" s="110">
        <f>IFERROR(MATCH(1,$DG$56:$DG$91,0),"&gt; 36")</f>
        <v>5</v>
      </c>
      <c r="E40" s="110">
        <f>IFERROR(MATCH(1,$DK$56:$DK$91,0),"&gt; 36")</f>
        <v>5</v>
      </c>
      <c r="F40" s="110">
        <f>IFERROR(MATCH(1,$DO$56:$DO$91,0),"&gt; 36")</f>
        <v>5</v>
      </c>
      <c r="G40" s="110">
        <f>IFERROR(MATCH(1,$DS$56:$DS$91,0),"&gt; 36")</f>
        <v>5</v>
      </c>
      <c r="H40" s="128"/>
      <c r="I40" s="128"/>
      <c r="J40" s="128"/>
    </row>
    <row r="43" spans="2:10" ht="20" customHeight="1" x14ac:dyDescent="0.2">
      <c r="B43" s="107" t="s">
        <v>297</v>
      </c>
    </row>
    <row r="44" spans="2:10" ht="22" customHeight="1" x14ac:dyDescent="0.2">
      <c r="B44" s="32" t="s">
        <v>295</v>
      </c>
      <c r="C44" s="108">
        <f>C35</f>
        <v>-0.1</v>
      </c>
      <c r="D44" s="108">
        <f>D35</f>
        <v>-0.05</v>
      </c>
      <c r="E44" s="108">
        <f>E35</f>
        <v>0</v>
      </c>
      <c r="F44" s="108">
        <f>F35</f>
        <v>0.05</v>
      </c>
      <c r="G44" s="108">
        <f>G35</f>
        <v>0.1</v>
      </c>
    </row>
    <row r="45" spans="2:10" x14ac:dyDescent="0.2">
      <c r="B45" s="109">
        <f>B36</f>
        <v>-0.2</v>
      </c>
      <c r="C45" s="112">
        <f>SUM(Z56:Z67)-('Cuenta de resultados'!$C$33+'Cuenta de resultados'!$C$34+'Cuenta de resultados'!$C$35)</f>
        <v>-105029.93470101012</v>
      </c>
      <c r="D45" s="112">
        <f>SUM(AD56:AD67)-('Cuenta de resultados'!$C$33+'Cuenta de resultados'!$C$34+'Cuenta de resultados'!$C$35)</f>
        <v>-98623.837549010146</v>
      </c>
      <c r="E45" s="112">
        <f>SUM(AH56:AH67)-('Cuenta de resultados'!$C$33+'Cuenta de resultados'!$C$34+'Cuenta de resultados'!$C$35)</f>
        <v>-92217.740397010144</v>
      </c>
      <c r="F45" s="112">
        <f>SUM(AL56:AL67)-('Cuenta de resultados'!$C$33+'Cuenta de resultados'!$C$34+'Cuenta de resultados'!$C$35)</f>
        <v>-85811.643245010142</v>
      </c>
      <c r="G45" s="112">
        <f>SUM(AP56:AP67)-('Cuenta de resultados'!$C$33+'Cuenta de resultados'!$C$34+'Cuenta de resultados'!$C$35)</f>
        <v>-79405.546093010111</v>
      </c>
      <c r="H45" s="159" t="s">
        <v>298</v>
      </c>
      <c r="I45" s="128"/>
      <c r="J45" s="128"/>
    </row>
    <row r="46" spans="2:10" x14ac:dyDescent="0.2">
      <c r="B46" s="109">
        <f>B37</f>
        <v>-0.1</v>
      </c>
      <c r="C46" s="112">
        <f>SUM(AT56:AT67)-('Cuenta de resultados'!$C$33+'Cuenta de resultados'!$C$34+'Cuenta de resultados'!$C$35)</f>
        <v>-87563.735149010128</v>
      </c>
      <c r="D46" s="112">
        <f>SUM(AX56:AX67)-('Cuenta de resultados'!$C$33+'Cuenta de resultados'!$C$34+'Cuenta de resultados'!$C$35)</f>
        <v>-80322.849133010168</v>
      </c>
      <c r="E46" s="112">
        <f>SUM(BB56:BB67)-('Cuenta de resultados'!$C$33+'Cuenta de resultados'!$C$34+'Cuenta de resultados'!$C$35)</f>
        <v>-73081.963117010164</v>
      </c>
      <c r="F46" s="112">
        <f>SUM(BF56:BF67)-('Cuenta de resultados'!$C$33+'Cuenta de resultados'!$C$34+'Cuenta de resultados'!$C$35)</f>
        <v>-65841.077101010131</v>
      </c>
      <c r="G46" s="112">
        <f>SUM(BJ56:BJ67)-('Cuenta de resultados'!$C$33+'Cuenta de resultados'!$C$34+'Cuenta de resultados'!$C$35)</f>
        <v>-58600.191085010127</v>
      </c>
      <c r="H46" s="128"/>
      <c r="I46" s="128"/>
      <c r="J46" s="128"/>
    </row>
    <row r="47" spans="2:10" x14ac:dyDescent="0.2">
      <c r="B47" s="109">
        <f>B38</f>
        <v>0</v>
      </c>
      <c r="C47" s="112">
        <f>SUM(BN56:BN67)-('Cuenta de resultados'!$C$33+'Cuenta de resultados'!$C$34+'Cuenta de resultados'!$C$35)</f>
        <v>-71362.874086610143</v>
      </c>
      <c r="D47" s="112">
        <f>SUM(BR56:BR67)-('Cuenta de resultados'!$C$33+'Cuenta de resultados'!$C$34+'Cuenta de resultados'!$C$35)</f>
        <v>-63347.086233810165</v>
      </c>
      <c r="E47" s="113">
        <f>SUM(BV56:BV67)-('Cuenta de resultados'!$C$33+'Cuenta de resultados'!$C$34+'Cuenta de resultados'!$C$35)</f>
        <v>-55331.298381010158</v>
      </c>
      <c r="F47" s="112">
        <f>SUM(BZ56:BZ67)-('Cuenta de resultados'!$C$33+'Cuenta de resultados'!$C$34+'Cuenta de resultados'!$C$35)</f>
        <v>-47315.510528210143</v>
      </c>
      <c r="G47" s="112">
        <f>SUM(CD56:CD67)-('Cuenta de resultados'!$C$33+'Cuenta de resultados'!$C$34+'Cuenta de resultados'!$C$35)</f>
        <v>-39299.722675410128</v>
      </c>
      <c r="H47" s="128"/>
      <c r="I47" s="128"/>
      <c r="J47" s="128"/>
    </row>
    <row r="48" spans="2:10" x14ac:dyDescent="0.2">
      <c r="B48" s="109">
        <f>B39</f>
        <v>0.1</v>
      </c>
      <c r="C48" s="112">
        <f>SUM(CH56:CH67)-('Cuenta de resultados'!$C$33+'Cuenta de resultados'!$C$34+'Cuenta de resultados'!$C$35)</f>
        <v>-54073.422790610144</v>
      </c>
      <c r="D48" s="112">
        <f>SUM(CL56:CL67)-('Cuenta de resultados'!$C$33+'Cuenta de resultados'!$C$34+'Cuenta de resultados'!$C$35)</f>
        <v>-45231.919865810167</v>
      </c>
      <c r="E48" s="112">
        <f>SUM(CP56:CP67)-('Cuenta de resultados'!$C$33+'Cuenta de resultados'!$C$34+'Cuenta de resultados'!$C$35)</f>
        <v>-36390.41694101016</v>
      </c>
      <c r="F48" s="112">
        <f>SUM(CT56:CT67)-('Cuenta de resultados'!$C$33+'Cuenta de resultados'!$C$34+'Cuenta de resultados'!$C$35)</f>
        <v>-27548.914016210139</v>
      </c>
      <c r="G48" s="112">
        <f>SUM(CX56:CX67)-('Cuenta de resultados'!$C$33+'Cuenta de resultados'!$C$34+'Cuenta de resultados'!$C$35)</f>
        <v>-18707.411091410133</v>
      </c>
      <c r="H48" s="128"/>
      <c r="I48" s="128"/>
      <c r="J48" s="128"/>
    </row>
    <row r="49" spans="2:123" x14ac:dyDescent="0.2">
      <c r="B49" s="109">
        <f>B40</f>
        <v>0.2</v>
      </c>
      <c r="C49" s="112">
        <f>SUM(DB56:DB67)-('Cuenta de resultados'!$C$33+'Cuenta de resultados'!$C$34+'Cuenta de resultados'!$C$35)</f>
        <v>-37801.862425810148</v>
      </c>
      <c r="D49" s="112">
        <f>SUM(DF56:DF67)-('Cuenta de resultados'!$C$33+'Cuenta de resultados'!$C$34+'Cuenta de resultados'!$C$35)</f>
        <v>-28181.828147410175</v>
      </c>
      <c r="E49" s="112">
        <f>SUM(DJ56:DJ67)-('Cuenta de resultados'!$C$33+'Cuenta de resultados'!$C$34+'Cuenta de resultados'!$C$35)</f>
        <v>-18561.793869010158</v>
      </c>
      <c r="F49" s="112">
        <f>SUM(DN56:DN67)-('Cuenta de resultados'!$C$33+'Cuenta de resultados'!$C$34+'Cuenta de resultados'!$C$35)</f>
        <v>-8941.7595906101487</v>
      </c>
      <c r="G49" s="112">
        <f>SUM(DR56:DR67)-('Cuenta de resultados'!$C$33+'Cuenta de resultados'!$C$34+'Cuenta de resultados'!$C$35)</f>
        <v>678.27468778986076</v>
      </c>
      <c r="H49" s="128"/>
      <c r="I49" s="128"/>
      <c r="J49" s="128"/>
    </row>
    <row r="52" spans="2:123" ht="26" customHeight="1" x14ac:dyDescent="0.2">
      <c r="B52" s="25" t="s">
        <v>299</v>
      </c>
      <c r="C52" s="26"/>
      <c r="D52" s="26"/>
      <c r="E52" s="26"/>
      <c r="F52" s="26"/>
      <c r="G52" s="26"/>
      <c r="H52" s="26"/>
      <c r="I52" s="26"/>
      <c r="J52" s="26"/>
      <c r="M52" s="114" t="s">
        <v>300</v>
      </c>
      <c r="X52" s="114" t="s">
        <v>301</v>
      </c>
      <c r="AB52" s="114" t="s">
        <v>302</v>
      </c>
      <c r="AF52" s="114" t="s">
        <v>303</v>
      </c>
      <c r="AJ52" s="114" t="s">
        <v>304</v>
      </c>
      <c r="AN52" s="114" t="s">
        <v>305</v>
      </c>
      <c r="AR52" s="114" t="s">
        <v>306</v>
      </c>
      <c r="AV52" s="114" t="s">
        <v>307</v>
      </c>
      <c r="AZ52" s="114" t="s">
        <v>308</v>
      </c>
      <c r="BD52" s="114" t="s">
        <v>309</v>
      </c>
      <c r="BH52" s="114" t="s">
        <v>310</v>
      </c>
      <c r="BL52" s="114" t="s">
        <v>311</v>
      </c>
      <c r="BP52" s="114" t="s">
        <v>312</v>
      </c>
      <c r="BT52" s="114" t="s">
        <v>313</v>
      </c>
      <c r="BX52" s="114" t="s">
        <v>314</v>
      </c>
      <c r="CB52" s="114" t="s">
        <v>315</v>
      </c>
      <c r="CF52" s="114" t="s">
        <v>316</v>
      </c>
      <c r="CJ52" s="114" t="s">
        <v>317</v>
      </c>
      <c r="CN52" s="114" t="s">
        <v>318</v>
      </c>
      <c r="CR52" s="114" t="s">
        <v>319</v>
      </c>
      <c r="CV52" s="114" t="s">
        <v>320</v>
      </c>
      <c r="CZ52" s="114" t="s">
        <v>321</v>
      </c>
      <c r="DD52" s="114" t="s">
        <v>322</v>
      </c>
      <c r="DH52" s="114" t="s">
        <v>323</v>
      </c>
      <c r="DL52" s="114" t="s">
        <v>324</v>
      </c>
      <c r="DP52" s="114" t="s">
        <v>325</v>
      </c>
    </row>
    <row r="53" spans="2:123" x14ac:dyDescent="0.2">
      <c r="X53" s="115">
        <f>$B$36</f>
        <v>-0.2</v>
      </c>
      <c r="AB53" s="115">
        <f>$B$36</f>
        <v>-0.2</v>
      </c>
      <c r="AF53" s="115">
        <f>$B$36</f>
        <v>-0.2</v>
      </c>
      <c r="AJ53" s="115">
        <f>$B$36</f>
        <v>-0.2</v>
      </c>
      <c r="AN53" s="115">
        <f>$B$36</f>
        <v>-0.2</v>
      </c>
      <c r="AR53" s="115">
        <f>$B$37</f>
        <v>-0.1</v>
      </c>
      <c r="AV53" s="115">
        <f>$B$37</f>
        <v>-0.1</v>
      </c>
      <c r="AZ53" s="115">
        <f>$B$37</f>
        <v>-0.1</v>
      </c>
      <c r="BD53" s="115">
        <f>$B$37</f>
        <v>-0.1</v>
      </c>
      <c r="BH53" s="115">
        <f>$B$37</f>
        <v>-0.1</v>
      </c>
      <c r="BL53" s="115">
        <f>$B$38</f>
        <v>0</v>
      </c>
      <c r="BP53" s="115">
        <f>$B$38</f>
        <v>0</v>
      </c>
      <c r="BT53" s="115">
        <f>$B$38</f>
        <v>0</v>
      </c>
      <c r="BX53" s="115">
        <f>$B$38</f>
        <v>0</v>
      </c>
      <c r="CB53" s="115">
        <f>$B$38</f>
        <v>0</v>
      </c>
      <c r="CF53" s="115">
        <f>$B$39</f>
        <v>0.1</v>
      </c>
      <c r="CJ53" s="115">
        <f>$B$39</f>
        <v>0.1</v>
      </c>
      <c r="CN53" s="115">
        <f>$B$39</f>
        <v>0.1</v>
      </c>
      <c r="CR53" s="115">
        <f>$B$39</f>
        <v>0.1</v>
      </c>
      <c r="CV53" s="115">
        <f>$B$39</f>
        <v>0.1</v>
      </c>
      <c r="CZ53" s="115">
        <f>$B$40</f>
        <v>0.2</v>
      </c>
      <c r="DD53" s="115">
        <f>$B$40</f>
        <v>0.2</v>
      </c>
      <c r="DH53" s="115">
        <f>$B$40</f>
        <v>0.2</v>
      </c>
      <c r="DL53" s="115">
        <f>$B$40</f>
        <v>0.2</v>
      </c>
      <c r="DP53" s="115">
        <f>$B$40</f>
        <v>0.2</v>
      </c>
    </row>
    <row r="54" spans="2:123" ht="32" customHeight="1" x14ac:dyDescent="0.2">
      <c r="B54" s="32" t="s">
        <v>326</v>
      </c>
      <c r="C54" s="4" t="s">
        <v>224</v>
      </c>
      <c r="D54" s="4" t="s">
        <v>327</v>
      </c>
      <c r="E54" s="4" t="s">
        <v>208</v>
      </c>
      <c r="F54" s="4" t="s">
        <v>209</v>
      </c>
      <c r="G54" s="4" t="s">
        <v>328</v>
      </c>
      <c r="H54" s="4" t="s">
        <v>329</v>
      </c>
      <c r="I54" s="4" t="s">
        <v>201</v>
      </c>
      <c r="J54" s="4" t="s">
        <v>330</v>
      </c>
      <c r="M54" s="116" t="s">
        <v>219</v>
      </c>
      <c r="N54" s="116" t="s">
        <v>331</v>
      </c>
      <c r="O54" s="116" t="s">
        <v>332</v>
      </c>
      <c r="P54" s="116" t="s">
        <v>333</v>
      </c>
      <c r="Q54" s="116" t="s">
        <v>334</v>
      </c>
      <c r="R54" s="116" t="s">
        <v>335</v>
      </c>
      <c r="S54" s="116" t="s">
        <v>336</v>
      </c>
      <c r="T54" s="116" t="s">
        <v>337</v>
      </c>
      <c r="U54" s="116" t="s">
        <v>338</v>
      </c>
      <c r="V54" s="116" t="s">
        <v>339</v>
      </c>
      <c r="X54" s="117">
        <f>C$35</f>
        <v>-0.1</v>
      </c>
      <c r="Y54" s="118" t="s">
        <v>118</v>
      </c>
      <c r="Z54" s="118" t="s">
        <v>328</v>
      </c>
      <c r="AA54" s="118" t="s">
        <v>340</v>
      </c>
      <c r="AB54" s="117">
        <f>D$35</f>
        <v>-0.05</v>
      </c>
      <c r="AC54" s="118" t="s">
        <v>118</v>
      </c>
      <c r="AD54" s="118" t="s">
        <v>328</v>
      </c>
      <c r="AE54" s="118" t="s">
        <v>340</v>
      </c>
      <c r="AF54" s="117">
        <f>E$35</f>
        <v>0</v>
      </c>
      <c r="AG54" s="118" t="s">
        <v>118</v>
      </c>
      <c r="AH54" s="118" t="s">
        <v>328</v>
      </c>
      <c r="AI54" s="118" t="s">
        <v>340</v>
      </c>
      <c r="AJ54" s="117">
        <f>F$35</f>
        <v>0.05</v>
      </c>
      <c r="AK54" s="118" t="s">
        <v>118</v>
      </c>
      <c r="AL54" s="118" t="s">
        <v>328</v>
      </c>
      <c r="AM54" s="118" t="s">
        <v>340</v>
      </c>
      <c r="AN54" s="117">
        <f>G$35</f>
        <v>0.1</v>
      </c>
      <c r="AO54" s="118" t="s">
        <v>118</v>
      </c>
      <c r="AP54" s="118" t="s">
        <v>328</v>
      </c>
      <c r="AQ54" s="118" t="s">
        <v>340</v>
      </c>
      <c r="AR54" s="117">
        <f>C$35</f>
        <v>-0.1</v>
      </c>
      <c r="AS54" s="118" t="s">
        <v>118</v>
      </c>
      <c r="AT54" s="118" t="s">
        <v>328</v>
      </c>
      <c r="AU54" s="118" t="s">
        <v>340</v>
      </c>
      <c r="AV54" s="117">
        <f>D$35</f>
        <v>-0.05</v>
      </c>
      <c r="AW54" s="118" t="s">
        <v>118</v>
      </c>
      <c r="AX54" s="118" t="s">
        <v>328</v>
      </c>
      <c r="AY54" s="118" t="s">
        <v>340</v>
      </c>
      <c r="AZ54" s="117">
        <f>E$35</f>
        <v>0</v>
      </c>
      <c r="BA54" s="118" t="s">
        <v>118</v>
      </c>
      <c r="BB54" s="118" t="s">
        <v>328</v>
      </c>
      <c r="BC54" s="118" t="s">
        <v>340</v>
      </c>
      <c r="BD54" s="117">
        <f>F$35</f>
        <v>0.05</v>
      </c>
      <c r="BE54" s="118" t="s">
        <v>118</v>
      </c>
      <c r="BF54" s="118" t="s">
        <v>328</v>
      </c>
      <c r="BG54" s="118" t="s">
        <v>340</v>
      </c>
      <c r="BH54" s="117">
        <f>G$35</f>
        <v>0.1</v>
      </c>
      <c r="BI54" s="118" t="s">
        <v>118</v>
      </c>
      <c r="BJ54" s="118" t="s">
        <v>328</v>
      </c>
      <c r="BK54" s="118" t="s">
        <v>340</v>
      </c>
      <c r="BL54" s="117">
        <f>C$35</f>
        <v>-0.1</v>
      </c>
      <c r="BM54" s="118" t="s">
        <v>118</v>
      </c>
      <c r="BN54" s="118" t="s">
        <v>328</v>
      </c>
      <c r="BO54" s="118" t="s">
        <v>340</v>
      </c>
      <c r="BP54" s="117">
        <f>D$35</f>
        <v>-0.05</v>
      </c>
      <c r="BQ54" s="118" t="s">
        <v>118</v>
      </c>
      <c r="BR54" s="118" t="s">
        <v>328</v>
      </c>
      <c r="BS54" s="118" t="s">
        <v>340</v>
      </c>
      <c r="BT54" s="117">
        <f>E$35</f>
        <v>0</v>
      </c>
      <c r="BU54" s="118" t="s">
        <v>118</v>
      </c>
      <c r="BV54" s="118" t="s">
        <v>328</v>
      </c>
      <c r="BW54" s="118" t="s">
        <v>340</v>
      </c>
      <c r="BX54" s="117">
        <f>F$35</f>
        <v>0.05</v>
      </c>
      <c r="BY54" s="118" t="s">
        <v>118</v>
      </c>
      <c r="BZ54" s="118" t="s">
        <v>328</v>
      </c>
      <c r="CA54" s="118" t="s">
        <v>340</v>
      </c>
      <c r="CB54" s="117">
        <f>G$35</f>
        <v>0.1</v>
      </c>
      <c r="CC54" s="118" t="s">
        <v>118</v>
      </c>
      <c r="CD54" s="118" t="s">
        <v>328</v>
      </c>
      <c r="CE54" s="118" t="s">
        <v>340</v>
      </c>
      <c r="CF54" s="117">
        <f>C$35</f>
        <v>-0.1</v>
      </c>
      <c r="CG54" s="118" t="s">
        <v>118</v>
      </c>
      <c r="CH54" s="118" t="s">
        <v>328</v>
      </c>
      <c r="CI54" s="118" t="s">
        <v>340</v>
      </c>
      <c r="CJ54" s="117">
        <f>D$35</f>
        <v>-0.05</v>
      </c>
      <c r="CK54" s="118" t="s">
        <v>118</v>
      </c>
      <c r="CL54" s="118" t="s">
        <v>328</v>
      </c>
      <c r="CM54" s="118" t="s">
        <v>340</v>
      </c>
      <c r="CN54" s="117">
        <f>E$35</f>
        <v>0</v>
      </c>
      <c r="CO54" s="118" t="s">
        <v>118</v>
      </c>
      <c r="CP54" s="118" t="s">
        <v>328</v>
      </c>
      <c r="CQ54" s="118" t="s">
        <v>340</v>
      </c>
      <c r="CR54" s="117">
        <f>F$35</f>
        <v>0.05</v>
      </c>
      <c r="CS54" s="118" t="s">
        <v>118</v>
      </c>
      <c r="CT54" s="118" t="s">
        <v>328</v>
      </c>
      <c r="CU54" s="118" t="s">
        <v>340</v>
      </c>
      <c r="CV54" s="117">
        <f>G$35</f>
        <v>0.1</v>
      </c>
      <c r="CW54" s="118" t="s">
        <v>118</v>
      </c>
      <c r="CX54" s="118" t="s">
        <v>328</v>
      </c>
      <c r="CY54" s="118" t="s">
        <v>340</v>
      </c>
      <c r="CZ54" s="117">
        <f>C$35</f>
        <v>-0.1</v>
      </c>
      <c r="DA54" s="118" t="s">
        <v>118</v>
      </c>
      <c r="DB54" s="118" t="s">
        <v>328</v>
      </c>
      <c r="DC54" s="118" t="s">
        <v>340</v>
      </c>
      <c r="DD54" s="117">
        <f>D$35</f>
        <v>-0.05</v>
      </c>
      <c r="DE54" s="118" t="s">
        <v>118</v>
      </c>
      <c r="DF54" s="118" t="s">
        <v>328</v>
      </c>
      <c r="DG54" s="118" t="s">
        <v>340</v>
      </c>
      <c r="DH54" s="117">
        <f>E$35</f>
        <v>0</v>
      </c>
      <c r="DI54" s="118" t="s">
        <v>118</v>
      </c>
      <c r="DJ54" s="118" t="s">
        <v>328</v>
      </c>
      <c r="DK54" s="118" t="s">
        <v>340</v>
      </c>
      <c r="DL54" s="117">
        <f>F$35</f>
        <v>0.05</v>
      </c>
      <c r="DM54" s="118" t="s">
        <v>118</v>
      </c>
      <c r="DN54" s="118" t="s">
        <v>328</v>
      </c>
      <c r="DO54" s="118" t="s">
        <v>340</v>
      </c>
      <c r="DP54" s="117">
        <f>G$35</f>
        <v>0.1</v>
      </c>
      <c r="DQ54" s="118" t="s">
        <v>118</v>
      </c>
      <c r="DR54" s="118" t="s">
        <v>328</v>
      </c>
      <c r="DS54" s="118" t="s">
        <v>340</v>
      </c>
    </row>
    <row r="55" spans="2:123" ht="13.5" customHeight="1" x14ac:dyDescent="0.2">
      <c r="B55" s="79" t="s">
        <v>341</v>
      </c>
      <c r="C55" s="74">
        <v>0</v>
      </c>
      <c r="D55" s="72">
        <f>$C$14</f>
        <v>445</v>
      </c>
      <c r="E55" s="59">
        <v>0</v>
      </c>
      <c r="F55" s="59">
        <v>0</v>
      </c>
      <c r="G55" s="59">
        <v>0</v>
      </c>
      <c r="H55" s="59">
        <v>0</v>
      </c>
      <c r="I55" s="76">
        <f>Supuestos!$C$109</f>
        <v>53800</v>
      </c>
      <c r="J55" s="59">
        <v>0</v>
      </c>
      <c r="M55" s="119">
        <v>0</v>
      </c>
      <c r="S55" s="120">
        <f t="shared" ref="S55:S91" si="0">MAX(0,I55)</f>
        <v>53800</v>
      </c>
      <c r="T55" s="120">
        <f t="shared" ref="T55:T91" si="1">MIN(0,I55)</f>
        <v>0</v>
      </c>
      <c r="U55" s="22" t="str">
        <f>"Inicio"</f>
        <v>Inicio</v>
      </c>
      <c r="V55" s="121">
        <v>0</v>
      </c>
      <c r="X55" s="122">
        <v>0</v>
      </c>
      <c r="AB55" s="122">
        <v>0</v>
      </c>
      <c r="AF55" s="122">
        <v>0</v>
      </c>
      <c r="AJ55" s="122">
        <v>0</v>
      </c>
      <c r="AN55" s="122">
        <v>0</v>
      </c>
      <c r="AR55" s="122">
        <v>0</v>
      </c>
      <c r="AV55" s="122">
        <v>0</v>
      </c>
      <c r="AZ55" s="122">
        <v>0</v>
      </c>
      <c r="BD55" s="122">
        <v>0</v>
      </c>
      <c r="BH55" s="122">
        <v>0</v>
      </c>
      <c r="BL55" s="122">
        <v>0</v>
      </c>
      <c r="BP55" s="122">
        <v>0</v>
      </c>
      <c r="BT55" s="122">
        <v>0</v>
      </c>
      <c r="BX55" s="122">
        <v>0</v>
      </c>
      <c r="CB55" s="122">
        <v>0</v>
      </c>
      <c r="CF55" s="122">
        <v>0</v>
      </c>
      <c r="CJ55" s="122">
        <v>0</v>
      </c>
      <c r="CN55" s="122">
        <v>0</v>
      </c>
      <c r="CR55" s="122">
        <v>0</v>
      </c>
      <c r="CV55" s="122">
        <v>0</v>
      </c>
      <c r="CZ55" s="122">
        <v>0</v>
      </c>
      <c r="DD55" s="122">
        <v>0</v>
      </c>
      <c r="DH55" s="122">
        <v>0</v>
      </c>
      <c r="DL55" s="122">
        <v>0</v>
      </c>
      <c r="DP55" s="122">
        <v>0</v>
      </c>
    </row>
    <row r="56" spans="2:123" ht="13.5" customHeight="1" x14ac:dyDescent="0.2">
      <c r="B56" s="7" t="str">
        <f>"Mes 1  ·  "&amp;CHOOSE(MONTH(DATE(YEAR(Supuestos!$C$8),MONTH(Supuestos!$C$8)+(1)-1,1)),"ene","feb","mar","abr","may","jun","jul","ago","sep","oct","nov","dic")&amp;" "&amp;YEAR(DATE(YEAR(Supuestos!$C$8),MONTH(Supuestos!$C$8)+(1)-1,1))</f>
        <v>Mes 1  ·  sep 2027</v>
      </c>
      <c r="C56" s="74">
        <f>'Previsión 36 meses'!$C$14</f>
        <v>225</v>
      </c>
      <c r="D56" s="72">
        <f t="shared" ref="D56:D67" si="2">C$14</f>
        <v>445</v>
      </c>
      <c r="E56" s="59">
        <f>'Previsión 36 meses'!$C$19</f>
        <v>14003.099999999999</v>
      </c>
      <c r="F56" s="59">
        <f>'Previsión 36 meses'!$C$31+'Previsión 36 meses'!$C$35</f>
        <v>18116.787199999999</v>
      </c>
      <c r="G56" s="59">
        <f>'Previsión 36 meses'!$C$36</f>
        <v>-4113.6872000000012</v>
      </c>
      <c r="H56" s="59">
        <f>'Previsión 36 meses'!$C$42</f>
        <v>-4863.6872000000012</v>
      </c>
      <c r="I56" s="76">
        <f>'Previsión 36 meses'!$C$43</f>
        <v>48936.3128</v>
      </c>
      <c r="J56" s="59">
        <f t="shared" ref="J56:J91" si="3">J55+G56</f>
        <v>-4113.6872000000012</v>
      </c>
      <c r="M56" s="119">
        <v>1</v>
      </c>
      <c r="N56" s="123">
        <f>IF($M56&lt;=12,INDEX(Supuestos!$C$55:$C$66,$M56)+IF($M56=1,Supuestos!$C$52,0),IF($M56&lt;=24,Supuestos!$C$69,Supuestos!$C$70)*IFERROR(INDEX(Supuestos!$C$55:$C$66,MOD($M56-1,12)+1)/AVERAGE(Supuestos!$C$55:$C$66),1))</f>
        <v>225</v>
      </c>
      <c r="O56" s="123">
        <f>Supuestos!$C$45*Supuestos!$F$14*(1+Supuestos!$C$112)^INT(($M56-1)/12)*(1-Supuestos!$C$98)</f>
        <v>36.295167999999997</v>
      </c>
      <c r="P56" s="123">
        <f>(Supuestos!$C$48+Supuestos!$C$49)*(1+Supuestos!$C$112)^INT(($M56-1)/12)*(1-Supuestos!$C$98-Supuestos!$C$99)</f>
        <v>2.6840000000000002</v>
      </c>
      <c r="Q56" s="123">
        <f>Supuestos!$C$47*(1+Supuestos!$C$112)^INT(($M56-1)/12)*(1-Supuestos!$C$98)</f>
        <v>19.759999999999998</v>
      </c>
      <c r="R56" s="120">
        <f>'Previsión 36 meses'!$C$31</f>
        <v>17330</v>
      </c>
      <c r="S56" s="120">
        <f t="shared" si="0"/>
        <v>48936.3128</v>
      </c>
      <c r="T56" s="120">
        <f t="shared" si="1"/>
        <v>0</v>
      </c>
      <c r="U56" s="22" t="str">
        <f>CHOOSE(MONTH(DATE(YEAR(Supuestos!$C$8),MONTH(Supuestos!$C$8)+(1)-1,1)),"ene","feb","mar","abr","may","jun","jul","ago","sep","oct","nov","dic")&amp;" "&amp;RIGHT(YEAR(DATE(YEAR(Supuestos!$C$8),MONTH(Supuestos!$C$8)+(1)-1,1)),2)</f>
        <v>sep 27</v>
      </c>
      <c r="V56" s="121">
        <f>IF(AND(Supuestos!$C$33&gt;0,J56&gt;=Supuestos!$C$33),1,0)</f>
        <v>0</v>
      </c>
      <c r="X56" s="124">
        <f>X55+Y56-MIN(X55,ROUND(X55*Supuestos!$C$71*Supuestos!$F$13,0))</f>
        <v>180</v>
      </c>
      <c r="Y56" s="124">
        <f>MAX(0,MIN(ROUND(Supuestos!$F$12*(1+X$53)*$N56,0),IF(Supuestos!$C$72&gt;0,Supuestos!$C$72-X55+MIN(X55,ROUND(X55*Supuestos!$C$71*Supuestos!$F$13,0)),ROUND(Supuestos!$F$12*(1+X$53)*$N56,0))))</f>
        <v>180</v>
      </c>
      <c r="Z56" s="124">
        <f t="shared" ref="Z56:Z91" si="4">X56*((1+X$54)*$O56+$P56)+Y56*$Q56-$R56</f>
        <v>-7410.2627840000005</v>
      </c>
      <c r="AA56" s="124">
        <f t="shared" ref="AA56:AA91" si="5">IF(AND(Z56&gt;=0,X56&gt;0),1,0)</f>
        <v>0</v>
      </c>
      <c r="AB56" s="124">
        <f>AB55+AC56-MIN(AB55,ROUND(AB55*Supuestos!$C$71*Supuestos!$F$13,0))</f>
        <v>180</v>
      </c>
      <c r="AC56" s="124">
        <f>MAX(0,MIN(ROUND(Supuestos!$F$12*(1+AB$53)*$N56,0),IF(Supuestos!$C$72&gt;0,Supuestos!$C$72-AB55+MIN(AB55,ROUND(AB55*Supuestos!$C$71*Supuestos!$F$13,0)),ROUND(Supuestos!$F$12*(1+AB$53)*$N56,0))))</f>
        <v>180</v>
      </c>
      <c r="AD56" s="124">
        <f t="shared" ref="AD56:AD91" si="6">AB56*((1+AB$54)*$O56+$P56)+AC56*$Q56-$R56</f>
        <v>-7083.6062720000009</v>
      </c>
      <c r="AE56" s="124">
        <f t="shared" ref="AE56:AE91" si="7">IF(AND(AD56&gt;=0,AB56&gt;0),1,0)</f>
        <v>0</v>
      </c>
      <c r="AF56" s="124">
        <f>AF55+AG56-MIN(AF55,ROUND(AF55*Supuestos!$C$71*Supuestos!$F$13,0))</f>
        <v>180</v>
      </c>
      <c r="AG56" s="124">
        <f>MAX(0,MIN(ROUND(Supuestos!$F$12*(1+AF$53)*$N56,0),IF(Supuestos!$C$72&gt;0,Supuestos!$C$72-AF55+MIN(AF55,ROUND(AF55*Supuestos!$C$71*Supuestos!$F$13,0)),ROUND(Supuestos!$F$12*(1+AF$53)*$N56,0))))</f>
        <v>180</v>
      </c>
      <c r="AH56" s="124">
        <f t="shared" ref="AH56:AH91" si="8">AF56*((1+AF$54)*$O56+$P56)+AG56*$Q56-$R56</f>
        <v>-6756.9497600000013</v>
      </c>
      <c r="AI56" s="124">
        <f t="shared" ref="AI56:AI91" si="9">IF(AND(AH56&gt;=0,AF56&gt;0),1,0)</f>
        <v>0</v>
      </c>
      <c r="AJ56" s="124">
        <f>AJ55+AK56-MIN(AJ55,ROUND(AJ55*Supuestos!$C$71*Supuestos!$F$13,0))</f>
        <v>180</v>
      </c>
      <c r="AK56" s="124">
        <f>MAX(0,MIN(ROUND(Supuestos!$F$12*(1+AJ$53)*$N56,0),IF(Supuestos!$C$72&gt;0,Supuestos!$C$72-AJ55+MIN(AJ55,ROUND(AJ55*Supuestos!$C$71*Supuestos!$F$13,0)),ROUND(Supuestos!$F$12*(1+AJ$53)*$N56,0))))</f>
        <v>180</v>
      </c>
      <c r="AL56" s="124">
        <f t="shared" ref="AL56:AL91" si="10">AJ56*((1+AJ$54)*$O56+$P56)+AK56*$Q56-$R56</f>
        <v>-6430.2932480000018</v>
      </c>
      <c r="AM56" s="124">
        <f t="shared" ref="AM56:AM91" si="11">IF(AND(AL56&gt;=0,AJ56&gt;0),1,0)</f>
        <v>0</v>
      </c>
      <c r="AN56" s="124">
        <f>AN55+AO56-MIN(AN55,ROUND(AN55*Supuestos!$C$71*Supuestos!$F$13,0))</f>
        <v>180</v>
      </c>
      <c r="AO56" s="124">
        <f>MAX(0,MIN(ROUND(Supuestos!$F$12*(1+AN$53)*$N56,0),IF(Supuestos!$C$72&gt;0,Supuestos!$C$72-AN55+MIN(AN55,ROUND(AN55*Supuestos!$C$71*Supuestos!$F$13,0)),ROUND(Supuestos!$F$12*(1+AN$53)*$N56,0))))</f>
        <v>180</v>
      </c>
      <c r="AP56" s="124">
        <f t="shared" ref="AP56:AP91" si="12">AN56*((1+AN$54)*$O56+$P56)+AO56*$Q56-$R56</f>
        <v>-6103.6367360000004</v>
      </c>
      <c r="AQ56" s="124">
        <f t="shared" ref="AQ56:AQ91" si="13">IF(AND(AP56&gt;=0,AN56&gt;0),1,0)</f>
        <v>0</v>
      </c>
      <c r="AR56" s="124">
        <f>AR55+AS56-MIN(AR55,ROUND(AR55*Supuestos!$C$71*Supuestos!$F$13,0))</f>
        <v>203</v>
      </c>
      <c r="AS56" s="124">
        <f>MAX(0,MIN(ROUND(Supuestos!$F$12*(1+AR$53)*$N56,0),IF(Supuestos!$C$72&gt;0,Supuestos!$C$72-AR55+MIN(AR55,ROUND(AR55*Supuestos!$C$71*Supuestos!$F$13,0)),ROUND(Supuestos!$F$12*(1+AR$53)*$N56,0))))</f>
        <v>203</v>
      </c>
      <c r="AT56" s="124">
        <f t="shared" ref="AT56:AT91" si="14">AR56*((1+AR$54)*$O56+$P56)+AS56*$Q56-$R56</f>
        <v>-6142.740806400001</v>
      </c>
      <c r="AU56" s="124">
        <f t="shared" ref="AU56:AU91" si="15">IF(AND(AT56&gt;=0,AR56&gt;0),1,0)</f>
        <v>0</v>
      </c>
      <c r="AV56" s="124">
        <f>AV55+AW56-MIN(AV55,ROUND(AV55*Supuestos!$C$71*Supuestos!$F$13,0))</f>
        <v>203</v>
      </c>
      <c r="AW56" s="124">
        <f>MAX(0,MIN(ROUND(Supuestos!$F$12*(1+AV$53)*$N56,0),IF(Supuestos!$C$72&gt;0,Supuestos!$C$72-AV55+MIN(AV55,ROUND(AV55*Supuestos!$C$71*Supuestos!$F$13,0)),ROUND(Supuestos!$F$12*(1+AV$53)*$N56,0))))</f>
        <v>203</v>
      </c>
      <c r="AX56" s="124">
        <f t="shared" ref="AX56:AX91" si="16">AV56*((1+AV$54)*$O56+$P56)+AW56*$Q56-$R56</f>
        <v>-5774.3448512000032</v>
      </c>
      <c r="AY56" s="124">
        <f t="shared" ref="AY56:AY91" si="17">IF(AND(AX56&gt;=0,AV56&gt;0),1,0)</f>
        <v>0</v>
      </c>
      <c r="AZ56" s="124">
        <f>AZ55+BA56-MIN(AZ55,ROUND(AZ55*Supuestos!$C$71*Supuestos!$F$13,0))</f>
        <v>203</v>
      </c>
      <c r="BA56" s="124">
        <f>MAX(0,MIN(ROUND(Supuestos!$F$12*(1+AZ$53)*$N56,0),IF(Supuestos!$C$72&gt;0,Supuestos!$C$72-AZ55+MIN(AZ55,ROUND(AZ55*Supuestos!$C$71*Supuestos!$F$13,0)),ROUND(Supuestos!$F$12*(1+AZ$53)*$N56,0))))</f>
        <v>203</v>
      </c>
      <c r="BB56" s="124">
        <f t="shared" ref="BB56:BB91" si="18">AZ56*((1+AZ$54)*$O56+$P56)+BA56*$Q56-$R56</f>
        <v>-5405.9488960000017</v>
      </c>
      <c r="BC56" s="124">
        <f t="shared" ref="BC56:BC91" si="19">IF(AND(BB56&gt;=0,AZ56&gt;0),1,0)</f>
        <v>0</v>
      </c>
      <c r="BD56" s="124">
        <f>BD55+BE56-MIN(BD55,ROUND(BD55*Supuestos!$C$71*Supuestos!$F$13,0))</f>
        <v>203</v>
      </c>
      <c r="BE56" s="124">
        <f>MAX(0,MIN(ROUND(Supuestos!$F$12*(1+BD$53)*$N56,0),IF(Supuestos!$C$72&gt;0,Supuestos!$C$72-BD55+MIN(BD55,ROUND(BD55*Supuestos!$C$71*Supuestos!$F$13,0)),ROUND(Supuestos!$F$12*(1+BD$53)*$N56,0))))</f>
        <v>203</v>
      </c>
      <c r="BF56" s="124">
        <f t="shared" ref="BF56:BF91" si="20">BD56*((1+BD$54)*$O56+$P56)+BE56*$Q56-$R56</f>
        <v>-5037.5529408000002</v>
      </c>
      <c r="BG56" s="124">
        <f t="shared" ref="BG56:BG91" si="21">IF(AND(BF56&gt;=0,BD56&gt;0),1,0)</f>
        <v>0</v>
      </c>
      <c r="BH56" s="124">
        <f>BH55+BI56-MIN(BH55,ROUND(BH55*Supuestos!$C$71*Supuestos!$F$13,0))</f>
        <v>203</v>
      </c>
      <c r="BI56" s="124">
        <f>MAX(0,MIN(ROUND(Supuestos!$F$12*(1+BH$53)*$N56,0),IF(Supuestos!$C$72&gt;0,Supuestos!$C$72-BH55+MIN(BH55,ROUND(BH55*Supuestos!$C$71*Supuestos!$F$13,0)),ROUND(Supuestos!$F$12*(1+BH$53)*$N56,0))))</f>
        <v>203</v>
      </c>
      <c r="BJ56" s="124">
        <f t="shared" ref="BJ56:BJ91" si="22">BH56*((1+BH$54)*$O56+$P56)+BI56*$Q56-$R56</f>
        <v>-4669.1569855999987</v>
      </c>
      <c r="BK56" s="124">
        <f t="shared" ref="BK56:BK91" si="23">IF(AND(BJ56&gt;=0,BH56&gt;0),1,0)</f>
        <v>0</v>
      </c>
      <c r="BL56" s="124">
        <f>BL55+BM56-MIN(BL55,ROUND(BL55*Supuestos!$C$71*Supuestos!$F$13,0))</f>
        <v>225</v>
      </c>
      <c r="BM56" s="124">
        <f>MAX(0,MIN(ROUND(Supuestos!$F$12*(1+BL$53)*$N56,0),IF(Supuestos!$C$72&gt;0,Supuestos!$C$72-BL55+MIN(BL55,ROUND(BL55*Supuestos!$C$71*Supuestos!$F$13,0)),ROUND(Supuestos!$F$12*(1+BL$53)*$N56,0))))</f>
        <v>225</v>
      </c>
      <c r="BN56" s="124">
        <f t="shared" ref="BN56:BN91" si="24">BL56*((1+BL$54)*$O56+$P56)+BM56*$Q56-$R56</f>
        <v>-4930.3284800000001</v>
      </c>
      <c r="BO56" s="124">
        <f t="shared" ref="BO56:BO91" si="25">IF(AND(BN56&gt;=0,BL56&gt;0),1,0)</f>
        <v>0</v>
      </c>
      <c r="BP56" s="124">
        <f>BP55+BQ56-MIN(BP55,ROUND(BP55*Supuestos!$C$71*Supuestos!$F$13,0))</f>
        <v>225</v>
      </c>
      <c r="BQ56" s="124">
        <f>MAX(0,MIN(ROUND(Supuestos!$F$12*(1+BP$53)*$N56,0),IF(Supuestos!$C$72&gt;0,Supuestos!$C$72-BP55+MIN(BP55,ROUND(BP55*Supuestos!$C$71*Supuestos!$F$13,0)),ROUND(Supuestos!$F$12*(1+BP$53)*$N56,0))))</f>
        <v>225</v>
      </c>
      <c r="BR56" s="124">
        <f t="shared" ref="BR56:BR91" si="26">BP56*((1+BP$54)*$O56+$P56)+BQ56*$Q56-$R56</f>
        <v>-4522.007840000002</v>
      </c>
      <c r="BS56" s="124">
        <f t="shared" ref="BS56:BS91" si="27">IF(AND(BR56&gt;=0,BP56&gt;0),1,0)</f>
        <v>0</v>
      </c>
      <c r="BT56" s="124">
        <f>BT55+BU56-MIN(BT55,ROUND(BT55*Supuestos!$C$71*Supuestos!$F$13,0))</f>
        <v>225</v>
      </c>
      <c r="BU56" s="124">
        <f>MAX(0,MIN(ROUND(Supuestos!$F$12*(1+BT$53)*$N56,0),IF(Supuestos!$C$72&gt;0,Supuestos!$C$72-BT55+MIN(BT55,ROUND(BT55*Supuestos!$C$71*Supuestos!$F$13,0)),ROUND(Supuestos!$F$12*(1+BT$53)*$N56,0))))</f>
        <v>225</v>
      </c>
      <c r="BV56" s="124">
        <f t="shared" ref="BV56:BV91" si="28">BT56*((1+BT$54)*$O56+$P56)+BU56*$Q56-$R56</f>
        <v>-4113.6872000000021</v>
      </c>
      <c r="BW56" s="124">
        <f t="shared" ref="BW56:BW91" si="29">IF(AND(BV56&gt;=0,BT56&gt;0),1,0)</f>
        <v>0</v>
      </c>
      <c r="BX56" s="124">
        <f>BX55+BY56-MIN(BX55,ROUND(BX55*Supuestos!$C$71*Supuestos!$F$13,0))</f>
        <v>225</v>
      </c>
      <c r="BY56" s="124">
        <f>MAX(0,MIN(ROUND(Supuestos!$F$12*(1+BX$53)*$N56,0),IF(Supuestos!$C$72&gt;0,Supuestos!$C$72-BX55+MIN(BX55,ROUND(BX55*Supuestos!$C$71*Supuestos!$F$13,0)),ROUND(Supuestos!$F$12*(1+BX$53)*$N56,0))))</f>
        <v>225</v>
      </c>
      <c r="BZ56" s="124">
        <f t="shared" ref="BZ56:BZ91" si="30">BX56*((1+BX$54)*$O56+$P56)+BY56*$Q56-$R56</f>
        <v>-3705.3665600000004</v>
      </c>
      <c r="CA56" s="124">
        <f t="shared" ref="CA56:CA91" si="31">IF(AND(BZ56&gt;=0,BX56&gt;0),1,0)</f>
        <v>0</v>
      </c>
      <c r="CB56" s="124">
        <f>CB55+CC56-MIN(CB55,ROUND(CB55*Supuestos!$C$71*Supuestos!$F$13,0))</f>
        <v>225</v>
      </c>
      <c r="CC56" s="124">
        <f>MAX(0,MIN(ROUND(Supuestos!$F$12*(1+CB$53)*$N56,0),IF(Supuestos!$C$72&gt;0,Supuestos!$C$72-CB55+MIN(CB55,ROUND(CB55*Supuestos!$C$71*Supuestos!$F$13,0)),ROUND(Supuestos!$F$12*(1+CB$53)*$N56,0))))</f>
        <v>225</v>
      </c>
      <c r="CD56" s="124">
        <f t="shared" ref="CD56:CD91" si="32">CB56*((1+CB$54)*$O56+$P56)+CC56*$Q56-$R56</f>
        <v>-3297.0459200000005</v>
      </c>
      <c r="CE56" s="124">
        <f t="shared" ref="CE56:CE91" si="33">IF(AND(CD56&gt;=0,CB56&gt;0),1,0)</f>
        <v>0</v>
      </c>
      <c r="CF56" s="124">
        <f>CF55+CG56-MIN(CF55,ROUND(CF55*Supuestos!$C$71*Supuestos!$F$13,0))</f>
        <v>248</v>
      </c>
      <c r="CG56" s="124">
        <f>MAX(0,MIN(ROUND(Supuestos!$F$12*(1+CF$53)*$N56,0),IF(Supuestos!$C$72&gt;0,Supuestos!$C$72-CF55+MIN(CF55,ROUND(CF55*Supuestos!$C$71*Supuestos!$F$13,0)),ROUND(Supuestos!$F$12*(1+CF$53)*$N56,0))))</f>
        <v>248</v>
      </c>
      <c r="CH56" s="124">
        <f t="shared" ref="CH56:CH91" si="34">CF56*((1+CF$54)*$O56+$P56)+CG56*$Q56-$R56</f>
        <v>-3662.8065024000007</v>
      </c>
      <c r="CI56" s="124">
        <f t="shared" ref="CI56:CI91" si="35">IF(AND(CH56&gt;=0,CF56&gt;0),1,0)</f>
        <v>0</v>
      </c>
      <c r="CJ56" s="124">
        <f>CJ55+CK56-MIN(CJ55,ROUND(CJ55*Supuestos!$C$71*Supuestos!$F$13,0))</f>
        <v>248</v>
      </c>
      <c r="CK56" s="124">
        <f>MAX(0,MIN(ROUND(Supuestos!$F$12*(1+CJ$53)*$N56,0),IF(Supuestos!$C$72&gt;0,Supuestos!$C$72-CJ55+MIN(CJ55,ROUND(CJ55*Supuestos!$C$71*Supuestos!$F$13,0)),ROUND(Supuestos!$F$12*(1+CJ$53)*$N56,0))))</f>
        <v>248</v>
      </c>
      <c r="CL56" s="124">
        <f t="shared" ref="CL56:CL91" si="36">CJ56*((1+CJ$54)*$O56+$P56)+CK56*$Q56-$R56</f>
        <v>-3212.7464192000025</v>
      </c>
      <c r="CM56" s="124">
        <f t="shared" ref="CM56:CM91" si="37">IF(AND(CL56&gt;=0,CJ56&gt;0),1,0)</f>
        <v>0</v>
      </c>
      <c r="CN56" s="124">
        <f>CN55+CO56-MIN(CN55,ROUND(CN55*Supuestos!$C$71*Supuestos!$F$13,0))</f>
        <v>248</v>
      </c>
      <c r="CO56" s="124">
        <f>MAX(0,MIN(ROUND(Supuestos!$F$12*(1+CN$53)*$N56,0),IF(Supuestos!$C$72&gt;0,Supuestos!$C$72-CN55+MIN(CN55,ROUND(CN55*Supuestos!$C$71*Supuestos!$F$13,0)),ROUND(Supuestos!$F$12*(1+CN$53)*$N56,0))))</f>
        <v>248</v>
      </c>
      <c r="CP56" s="124">
        <f t="shared" ref="CP56:CP91" si="38">CN56*((1+CN$54)*$O56+$P56)+CO56*$Q56-$R56</f>
        <v>-2762.6863360000025</v>
      </c>
      <c r="CQ56" s="124">
        <f t="shared" ref="CQ56:CQ91" si="39">IF(AND(CP56&gt;=0,CN56&gt;0),1,0)</f>
        <v>0</v>
      </c>
      <c r="CR56" s="124">
        <f>CR55+CS56-MIN(CR55,ROUND(CR55*Supuestos!$C$71*Supuestos!$F$13,0))</f>
        <v>248</v>
      </c>
      <c r="CS56" s="124">
        <f>MAX(0,MIN(ROUND(Supuestos!$F$12*(1+CR$53)*$N56,0),IF(Supuestos!$C$72&gt;0,Supuestos!$C$72-CR55+MIN(CR55,ROUND(CR55*Supuestos!$C$71*Supuestos!$F$13,0)),ROUND(Supuestos!$F$12*(1+CR$53)*$N56,0))))</f>
        <v>248</v>
      </c>
      <c r="CT56" s="124">
        <f t="shared" ref="CT56:CT91" si="40">CR56*((1+CR$54)*$O56+$P56)+CS56*$Q56-$R56</f>
        <v>-2312.6262528000007</v>
      </c>
      <c r="CU56" s="124">
        <f t="shared" ref="CU56:CU91" si="41">IF(AND(CT56&gt;=0,CR56&gt;0),1,0)</f>
        <v>0</v>
      </c>
      <c r="CV56" s="124">
        <f>CV55+CW56-MIN(CV55,ROUND(CV55*Supuestos!$C$71*Supuestos!$F$13,0))</f>
        <v>248</v>
      </c>
      <c r="CW56" s="124">
        <f>MAX(0,MIN(ROUND(Supuestos!$F$12*(1+CV$53)*$N56,0),IF(Supuestos!$C$72&gt;0,Supuestos!$C$72-CV55+MIN(CV55,ROUND(CV55*Supuestos!$C$71*Supuestos!$F$13,0)),ROUND(Supuestos!$F$12*(1+CV$53)*$N56,0))))</f>
        <v>248</v>
      </c>
      <c r="CX56" s="124">
        <f t="shared" ref="CX56:CX91" si="42">CV56*((1+CV$54)*$O56+$P56)+CW56*$Q56-$R56</f>
        <v>-1862.5661696000006</v>
      </c>
      <c r="CY56" s="124">
        <f t="shared" ref="CY56:CY91" si="43">IF(AND(CX56&gt;=0,CV56&gt;0),1,0)</f>
        <v>0</v>
      </c>
      <c r="CZ56" s="124">
        <f>CZ55+DA56-MIN(CZ55,ROUND(CZ55*Supuestos!$C$71*Supuestos!$F$13,0))</f>
        <v>270</v>
      </c>
      <c r="DA56" s="124">
        <f>MAX(0,MIN(ROUND(Supuestos!$F$12*(1+CZ$53)*$N56,0),IF(Supuestos!$C$72&gt;0,Supuestos!$C$72-CZ55+MIN(CZ55,ROUND(CZ55*Supuestos!$C$71*Supuestos!$F$13,0)),ROUND(Supuestos!$F$12*(1+CZ$53)*$N56,0))))</f>
        <v>270</v>
      </c>
      <c r="DB56" s="124">
        <f t="shared" ref="DB56:DB91" si="44">CZ56*((1+CZ$54)*$O56+$P56)+DA56*$Q56-$R56</f>
        <v>-2450.3941760000016</v>
      </c>
      <c r="DC56" s="124">
        <f t="shared" ref="DC56:DC91" si="45">IF(AND(DB56&gt;=0,CZ56&gt;0),1,0)</f>
        <v>0</v>
      </c>
      <c r="DD56" s="124">
        <f>DD55+DE56-MIN(DD55,ROUND(DD55*Supuestos!$C$71*Supuestos!$F$13,0))</f>
        <v>270</v>
      </c>
      <c r="DE56" s="124">
        <f>MAX(0,MIN(ROUND(Supuestos!$F$12*(1+DD$53)*$N56,0),IF(Supuestos!$C$72&gt;0,Supuestos!$C$72-DD55+MIN(DD55,ROUND(DD55*Supuestos!$C$71*Supuestos!$F$13,0)),ROUND(Supuestos!$F$12*(1+DD$53)*$N56,0))))</f>
        <v>270</v>
      </c>
      <c r="DF56" s="124">
        <f t="shared" ref="DF56:DF91" si="46">DD56*((1+DD$54)*$O56+$P56)+DE56*$Q56-$R56</f>
        <v>-1960.4094080000032</v>
      </c>
      <c r="DG56" s="124">
        <f t="shared" ref="DG56:DG91" si="47">IF(AND(DF56&gt;=0,DD56&gt;0),1,0)</f>
        <v>0</v>
      </c>
      <c r="DH56" s="124">
        <f>DH55+DI56-MIN(DH55,ROUND(DH55*Supuestos!$C$71*Supuestos!$F$13,0))</f>
        <v>270</v>
      </c>
      <c r="DI56" s="124">
        <f>MAX(0,MIN(ROUND(Supuestos!$F$12*(1+DH$53)*$N56,0),IF(Supuestos!$C$72&gt;0,Supuestos!$C$72-DH55+MIN(DH55,ROUND(DH55*Supuestos!$C$71*Supuestos!$F$13,0)),ROUND(Supuestos!$F$12*(1+DH$53)*$N56,0))))</f>
        <v>270</v>
      </c>
      <c r="DJ56" s="124">
        <f t="shared" ref="DJ56:DJ91" si="48">DH56*((1+DH$54)*$O56+$P56)+DI56*$Q56-$R56</f>
        <v>-1470.4246400000011</v>
      </c>
      <c r="DK56" s="124">
        <f t="shared" ref="DK56:DK91" si="49">IF(AND(DJ56&gt;=0,DH56&gt;0),1,0)</f>
        <v>0</v>
      </c>
      <c r="DL56" s="124">
        <f>DL55+DM56-MIN(DL55,ROUND(DL55*Supuestos!$C$71*Supuestos!$F$13,0))</f>
        <v>270</v>
      </c>
      <c r="DM56" s="124">
        <f>MAX(0,MIN(ROUND(Supuestos!$F$12*(1+DL$53)*$N56,0),IF(Supuestos!$C$72&gt;0,Supuestos!$C$72-DL55+MIN(DL55,ROUND(DL55*Supuestos!$C$71*Supuestos!$F$13,0)),ROUND(Supuestos!$F$12*(1+DL$53)*$N56,0))))</f>
        <v>270</v>
      </c>
      <c r="DN56" s="124">
        <f t="shared" ref="DN56:DN91" si="50">DL56*((1+DL$54)*$O56+$P56)+DM56*$Q56-$R56</f>
        <v>-980.43987200000265</v>
      </c>
      <c r="DO56" s="124">
        <f t="shared" ref="DO56:DO91" si="51">IF(AND(DN56&gt;=0,DL56&gt;0),1,0)</f>
        <v>0</v>
      </c>
      <c r="DP56" s="124">
        <f>DP55+DQ56-MIN(DP55,ROUND(DP55*Supuestos!$C$71*Supuestos!$F$13,0))</f>
        <v>270</v>
      </c>
      <c r="DQ56" s="124">
        <f>MAX(0,MIN(ROUND(Supuestos!$F$12*(1+DP$53)*$N56,0),IF(Supuestos!$C$72&gt;0,Supuestos!$C$72-DP55+MIN(DP55,ROUND(DP55*Supuestos!$C$71*Supuestos!$F$13,0)),ROUND(Supuestos!$F$12*(1+DP$53)*$N56,0))))</f>
        <v>270</v>
      </c>
      <c r="DR56" s="124">
        <f t="shared" ref="DR56:DR91" si="52">DP56*((1+DP$54)*$O56+$P56)+DQ56*$Q56-$R56</f>
        <v>-490.45510400000057</v>
      </c>
      <c r="DS56" s="124">
        <f t="shared" ref="DS56:DS91" si="53">IF(AND(DR56&gt;=0,DP56&gt;0),1,0)</f>
        <v>0</v>
      </c>
    </row>
    <row r="57" spans="2:123" ht="13.5" customHeight="1" x14ac:dyDescent="0.2">
      <c r="B57" s="7" t="str">
        <f>"Mes 2  ·  "&amp;CHOOSE(MONTH(DATE(YEAR(Supuestos!$C$8),MONTH(Supuestos!$C$8)+(2)-1,1)),"ene","feb","mar","abr","may","jun","jul","ago","sep","oct","nov","dic")&amp;" "&amp;YEAR(DATE(YEAR(Supuestos!$C$8),MONTH(Supuestos!$C$8)+(2)-1,1))</f>
        <v>Mes 2  ·  oct 2027</v>
      </c>
      <c r="C57" s="74">
        <f>'Previsión 36 meses'!$D$14</f>
        <v>271</v>
      </c>
      <c r="D57" s="72">
        <f t="shared" si="2"/>
        <v>445</v>
      </c>
      <c r="E57" s="59">
        <f>'Previsión 36 meses'!$D$19</f>
        <v>12545.955999999998</v>
      </c>
      <c r="F57" s="59">
        <f>'Previsión 36 meses'!$D$31+'Previsión 36 meses'!$D$35</f>
        <v>18225.801471999999</v>
      </c>
      <c r="G57" s="59">
        <f>'Previsión 36 meses'!$D$36</f>
        <v>-5679.8454720000018</v>
      </c>
      <c r="H57" s="59">
        <f>'Previsión 36 meses'!$D$42</f>
        <v>-6429.8454720000018</v>
      </c>
      <c r="I57" s="76">
        <f>'Previsión 36 meses'!$D$43</f>
        <v>42506.467327999999</v>
      </c>
      <c r="J57" s="59">
        <f t="shared" si="3"/>
        <v>-9793.532672000003</v>
      </c>
      <c r="M57" s="119">
        <v>2</v>
      </c>
      <c r="N57" s="123">
        <f>IF($M57&lt;=12,INDEX(Supuestos!$C$55:$C$66,$M57)+IF($M57=1,Supuestos!$C$52,0),IF($M57&lt;=24,Supuestos!$C$69,Supuestos!$C$70)*IFERROR(INDEX(Supuestos!$C$55:$C$66,MOD($M57-1,12)+1)/AVERAGE(Supuestos!$C$55:$C$66),1))</f>
        <v>55</v>
      </c>
      <c r="O57" s="123">
        <f>Supuestos!$C$45*Supuestos!$F$14*(1+Supuestos!$C$112)^INT(($M57-1)/12)*(1-Supuestos!$C$98)</f>
        <v>36.295167999999997</v>
      </c>
      <c r="P57" s="123">
        <f>(Supuestos!$C$48+Supuestos!$C$49)*(1+Supuestos!$C$112)^INT(($M57-1)/12)*(1-Supuestos!$C$98-Supuestos!$C$99)</f>
        <v>2.6840000000000002</v>
      </c>
      <c r="Q57" s="123">
        <f>Supuestos!$C$47*(1+Supuestos!$C$112)^INT(($M57-1)/12)*(1-Supuestos!$C$98)</f>
        <v>19.759999999999998</v>
      </c>
      <c r="R57" s="120">
        <f>'Previsión 36 meses'!$D$31</f>
        <v>17330</v>
      </c>
      <c r="S57" s="120">
        <f t="shared" si="0"/>
        <v>42506.467327999999</v>
      </c>
      <c r="T57" s="120">
        <f t="shared" si="1"/>
        <v>0</v>
      </c>
      <c r="U57" s="22" t="str">
        <f>CHOOSE(MONTH(DATE(YEAR(Supuestos!$C$8),MONTH(Supuestos!$C$8)+(2)-1,1)),"ene","feb","mar","abr","may","jun","jul","ago","sep","oct","nov","dic")&amp;" "&amp;RIGHT(YEAR(DATE(YEAR(Supuestos!$C$8),MONTH(Supuestos!$C$8)+(2)-1,1)),2)</f>
        <v>oct 27</v>
      </c>
      <c r="V57" s="121">
        <f>IF(AND(Supuestos!$C$33&gt;0,J57&gt;=Supuestos!$C$33),1,0)</f>
        <v>0</v>
      </c>
      <c r="X57" s="124">
        <f>X56+Y57-MIN(X56,ROUND(X56*Supuestos!$C$71*Supuestos!$F$13,0))</f>
        <v>217</v>
      </c>
      <c r="Y57" s="124">
        <f>MAX(0,MIN(ROUND(Supuestos!$F$12*(1+X$53)*$N57,0),IF(Supuestos!$C$72&gt;0,Supuestos!$C$72-X56+MIN(X56,ROUND(X56*Supuestos!$C$71*Supuestos!$F$13,0)),ROUND(Supuestos!$F$12*(1+X$53)*$N57,0))))</f>
        <v>44</v>
      </c>
      <c r="Z57" s="124">
        <f t="shared" si="4"/>
        <v>-8789.6856896000008</v>
      </c>
      <c r="AA57" s="124">
        <f t="shared" si="5"/>
        <v>0</v>
      </c>
      <c r="AB57" s="124">
        <f>AB56+AC57-MIN(AB56,ROUND(AB56*Supuestos!$C$71*Supuestos!$F$13,0))</f>
        <v>217</v>
      </c>
      <c r="AC57" s="124">
        <f>MAX(0,MIN(ROUND(Supuestos!$F$12*(1+AB$53)*$N57,0),IF(Supuestos!$C$72&gt;0,Supuestos!$C$72-AB56+MIN(AB56,ROUND(AB56*Supuestos!$C$71*Supuestos!$F$13,0)),ROUND(Supuestos!$F$12*(1+AB$53)*$N57,0))))</f>
        <v>44</v>
      </c>
      <c r="AD57" s="124">
        <f t="shared" si="6"/>
        <v>-8395.8831168000015</v>
      </c>
      <c r="AE57" s="124">
        <f t="shared" si="7"/>
        <v>0</v>
      </c>
      <c r="AF57" s="124">
        <f>AF56+AG57-MIN(AF56,ROUND(AF56*Supuestos!$C$71*Supuestos!$F$13,0))</f>
        <v>217</v>
      </c>
      <c r="AG57" s="124">
        <f>MAX(0,MIN(ROUND(Supuestos!$F$12*(1+AF$53)*$N57,0),IF(Supuestos!$C$72&gt;0,Supuestos!$C$72-AF56+MIN(AF56,ROUND(AF56*Supuestos!$C$71*Supuestos!$F$13,0)),ROUND(Supuestos!$F$12*(1+AF$53)*$N57,0))))</f>
        <v>44</v>
      </c>
      <c r="AH57" s="124">
        <f t="shared" si="8"/>
        <v>-8002.0805440000004</v>
      </c>
      <c r="AI57" s="124">
        <f t="shared" si="9"/>
        <v>0</v>
      </c>
      <c r="AJ57" s="124">
        <f>AJ56+AK57-MIN(AJ56,ROUND(AJ56*Supuestos!$C$71*Supuestos!$F$13,0))</f>
        <v>217</v>
      </c>
      <c r="AK57" s="124">
        <f>MAX(0,MIN(ROUND(Supuestos!$F$12*(1+AJ$53)*$N57,0),IF(Supuestos!$C$72&gt;0,Supuestos!$C$72-AJ56+MIN(AJ56,ROUND(AJ56*Supuestos!$C$71*Supuestos!$F$13,0)),ROUND(Supuestos!$F$12*(1+AJ$53)*$N57,0))))</f>
        <v>44</v>
      </c>
      <c r="AL57" s="124">
        <f t="shared" si="10"/>
        <v>-7608.277971200001</v>
      </c>
      <c r="AM57" s="124">
        <f t="shared" si="11"/>
        <v>0</v>
      </c>
      <c r="AN57" s="124">
        <f>AN56+AO57-MIN(AN56,ROUND(AN56*Supuestos!$C$71*Supuestos!$F$13,0))</f>
        <v>217</v>
      </c>
      <c r="AO57" s="124">
        <f>MAX(0,MIN(ROUND(Supuestos!$F$12*(1+AN$53)*$N57,0),IF(Supuestos!$C$72&gt;0,Supuestos!$C$72-AN56+MIN(AN56,ROUND(AN56*Supuestos!$C$71*Supuestos!$F$13,0)),ROUND(Supuestos!$F$12*(1+AN$53)*$N57,0))))</f>
        <v>44</v>
      </c>
      <c r="AP57" s="124">
        <f t="shared" si="12"/>
        <v>-7214.4753983999999</v>
      </c>
      <c r="AQ57" s="124">
        <f t="shared" si="13"/>
        <v>0</v>
      </c>
      <c r="AR57" s="124">
        <f>AR56+AS57-MIN(AR56,ROUND(AR56*Supuestos!$C$71*Supuestos!$F$13,0))</f>
        <v>245</v>
      </c>
      <c r="AS57" s="124">
        <f>MAX(0,MIN(ROUND(Supuestos!$F$12*(1+AR$53)*$N57,0),IF(Supuestos!$C$72&gt;0,Supuestos!$C$72-AR56+MIN(AR56,ROUND(AR56*Supuestos!$C$71*Supuestos!$F$13,0)),ROUND(Supuestos!$F$12*(1+AR$53)*$N57,0))))</f>
        <v>50</v>
      </c>
      <c r="AT57" s="124">
        <f t="shared" si="14"/>
        <v>-7681.3354560000007</v>
      </c>
      <c r="AU57" s="124">
        <f t="shared" si="15"/>
        <v>0</v>
      </c>
      <c r="AV57" s="124">
        <f>AV56+AW57-MIN(AV56,ROUND(AV56*Supuestos!$C$71*Supuestos!$F$13,0))</f>
        <v>245</v>
      </c>
      <c r="AW57" s="124">
        <f>MAX(0,MIN(ROUND(Supuestos!$F$12*(1+AV$53)*$N57,0),IF(Supuestos!$C$72&gt;0,Supuestos!$C$72-AV56+MIN(AV56,ROUND(AV56*Supuestos!$C$71*Supuestos!$F$13,0)),ROUND(Supuestos!$F$12*(1+AV$53)*$N57,0))))</f>
        <v>50</v>
      </c>
      <c r="AX57" s="124">
        <f t="shared" si="16"/>
        <v>-7236.7196480000021</v>
      </c>
      <c r="AY57" s="124">
        <f t="shared" si="17"/>
        <v>0</v>
      </c>
      <c r="AZ57" s="124">
        <f>AZ56+BA57-MIN(AZ56,ROUND(AZ56*Supuestos!$C$71*Supuestos!$F$13,0))</f>
        <v>245</v>
      </c>
      <c r="BA57" s="124">
        <f>MAX(0,MIN(ROUND(Supuestos!$F$12*(1+AZ$53)*$N57,0),IF(Supuestos!$C$72&gt;0,Supuestos!$C$72-AZ56+MIN(AZ56,ROUND(AZ56*Supuestos!$C$71*Supuestos!$F$13,0)),ROUND(Supuestos!$F$12*(1+AZ$53)*$N57,0))))</f>
        <v>50</v>
      </c>
      <c r="BB57" s="124">
        <f t="shared" si="18"/>
        <v>-6792.1038400000016</v>
      </c>
      <c r="BC57" s="124">
        <f t="shared" si="19"/>
        <v>0</v>
      </c>
      <c r="BD57" s="124">
        <f>BD56+BE57-MIN(BD56,ROUND(BD56*Supuestos!$C$71*Supuestos!$F$13,0))</f>
        <v>245</v>
      </c>
      <c r="BE57" s="124">
        <f>MAX(0,MIN(ROUND(Supuestos!$F$12*(1+BD$53)*$N57,0),IF(Supuestos!$C$72&gt;0,Supuestos!$C$72-BD56+MIN(BD56,ROUND(BD56*Supuestos!$C$71*Supuestos!$F$13,0)),ROUND(Supuestos!$F$12*(1+BD$53)*$N57,0))))</f>
        <v>50</v>
      </c>
      <c r="BF57" s="124">
        <f t="shared" si="20"/>
        <v>-6347.4880320000011</v>
      </c>
      <c r="BG57" s="124">
        <f t="shared" si="21"/>
        <v>0</v>
      </c>
      <c r="BH57" s="124">
        <f>BH56+BI57-MIN(BH56,ROUND(BH56*Supuestos!$C$71*Supuestos!$F$13,0))</f>
        <v>245</v>
      </c>
      <c r="BI57" s="124">
        <f>MAX(0,MIN(ROUND(Supuestos!$F$12*(1+BH$53)*$N57,0),IF(Supuestos!$C$72&gt;0,Supuestos!$C$72-BH56+MIN(BH56,ROUND(BH56*Supuestos!$C$71*Supuestos!$F$13,0)),ROUND(Supuestos!$F$12*(1+BH$53)*$N57,0))))</f>
        <v>50</v>
      </c>
      <c r="BJ57" s="124">
        <f t="shared" si="22"/>
        <v>-5902.8722240000006</v>
      </c>
      <c r="BK57" s="124">
        <f t="shared" si="23"/>
        <v>0</v>
      </c>
      <c r="BL57" s="124">
        <f>BL56+BM57-MIN(BL56,ROUND(BL56*Supuestos!$C$71*Supuestos!$F$13,0))</f>
        <v>271</v>
      </c>
      <c r="BM57" s="124">
        <f>MAX(0,MIN(ROUND(Supuestos!$F$12*(1+BL$53)*$N57,0),IF(Supuestos!$C$72&gt;0,Supuestos!$C$72-BL56+MIN(BL56,ROUND(BL56*Supuestos!$C$71*Supuestos!$F$13,0)),ROUND(Supuestos!$F$12*(1+BL$53)*$N57,0))))</f>
        <v>55</v>
      </c>
      <c r="BN57" s="124">
        <f t="shared" si="24"/>
        <v>-6663.4445248000011</v>
      </c>
      <c r="BO57" s="124">
        <f t="shared" si="25"/>
        <v>0</v>
      </c>
      <c r="BP57" s="124">
        <f>BP56+BQ57-MIN(BP56,ROUND(BP56*Supuestos!$C$71*Supuestos!$F$13,0))</f>
        <v>271</v>
      </c>
      <c r="BQ57" s="124">
        <f>MAX(0,MIN(ROUND(Supuestos!$F$12*(1+BP$53)*$N57,0),IF(Supuestos!$C$72&gt;0,Supuestos!$C$72-BP56+MIN(BP56,ROUND(BP56*Supuestos!$C$71*Supuestos!$F$13,0)),ROUND(Supuestos!$F$12*(1+BP$53)*$N57,0))))</f>
        <v>55</v>
      </c>
      <c r="BR57" s="124">
        <f t="shared" si="26"/>
        <v>-6171.6449984000028</v>
      </c>
      <c r="BS57" s="124">
        <f t="shared" si="27"/>
        <v>0</v>
      </c>
      <c r="BT57" s="124">
        <f>BT56+BU57-MIN(BT56,ROUND(BT56*Supuestos!$C$71*Supuestos!$F$13,0))</f>
        <v>271</v>
      </c>
      <c r="BU57" s="124">
        <f>MAX(0,MIN(ROUND(Supuestos!$F$12*(1+BT$53)*$N57,0),IF(Supuestos!$C$72&gt;0,Supuestos!$C$72-BT56+MIN(BT56,ROUND(BT56*Supuestos!$C$71*Supuestos!$F$13,0)),ROUND(Supuestos!$F$12*(1+BT$53)*$N57,0))))</f>
        <v>55</v>
      </c>
      <c r="BV57" s="124">
        <f t="shared" si="28"/>
        <v>-5679.8454720000027</v>
      </c>
      <c r="BW57" s="124">
        <f t="shared" si="29"/>
        <v>0</v>
      </c>
      <c r="BX57" s="124">
        <f>BX56+BY57-MIN(BX56,ROUND(BX56*Supuestos!$C$71*Supuestos!$F$13,0))</f>
        <v>271</v>
      </c>
      <c r="BY57" s="124">
        <f>MAX(0,MIN(ROUND(Supuestos!$F$12*(1+BX$53)*$N57,0),IF(Supuestos!$C$72&gt;0,Supuestos!$C$72-BX56+MIN(BX56,ROUND(BX56*Supuestos!$C$71*Supuestos!$F$13,0)),ROUND(Supuestos!$F$12*(1+BX$53)*$N57,0))))</f>
        <v>55</v>
      </c>
      <c r="BZ57" s="124">
        <f t="shared" si="30"/>
        <v>-5188.0459456000008</v>
      </c>
      <c r="CA57" s="124">
        <f t="shared" si="31"/>
        <v>0</v>
      </c>
      <c r="CB57" s="124">
        <f>CB56+CC57-MIN(CB56,ROUND(CB56*Supuestos!$C$71*Supuestos!$F$13,0))</f>
        <v>271</v>
      </c>
      <c r="CC57" s="124">
        <f>MAX(0,MIN(ROUND(Supuestos!$F$12*(1+CB$53)*$N57,0),IF(Supuestos!$C$72&gt;0,Supuestos!$C$72-CB56+MIN(CB56,ROUND(CB56*Supuestos!$C$71*Supuestos!$F$13,0)),ROUND(Supuestos!$F$12*(1+CB$53)*$N57,0))))</f>
        <v>55</v>
      </c>
      <c r="CD57" s="124">
        <f t="shared" si="32"/>
        <v>-4696.2464192000007</v>
      </c>
      <c r="CE57" s="124">
        <f t="shared" si="33"/>
        <v>0</v>
      </c>
      <c r="CF57" s="124">
        <f>CF56+CG57-MIN(CF56,ROUND(CF56*Supuestos!$C$71*Supuestos!$F$13,0))</f>
        <v>299</v>
      </c>
      <c r="CG57" s="124">
        <f>MAX(0,MIN(ROUND(Supuestos!$F$12*(1+CF$53)*$N57,0),IF(Supuestos!$C$72&gt;0,Supuestos!$C$72-CF56+MIN(CF56,ROUND(CF56*Supuestos!$C$71*Supuestos!$F$13,0)),ROUND(Supuestos!$F$12*(1+CF$53)*$N57,0))))</f>
        <v>61</v>
      </c>
      <c r="CH57" s="124">
        <f t="shared" si="34"/>
        <v>-5555.094291200001</v>
      </c>
      <c r="CI57" s="124">
        <f t="shared" si="35"/>
        <v>0</v>
      </c>
      <c r="CJ57" s="124">
        <f>CJ56+CK57-MIN(CJ56,ROUND(CJ56*Supuestos!$C$71*Supuestos!$F$13,0))</f>
        <v>299</v>
      </c>
      <c r="CK57" s="124">
        <f>MAX(0,MIN(ROUND(Supuestos!$F$12*(1+CJ$53)*$N57,0),IF(Supuestos!$C$72&gt;0,Supuestos!$C$72-CJ56+MIN(CJ56,ROUND(CJ56*Supuestos!$C$71*Supuestos!$F$13,0)),ROUND(Supuestos!$F$12*(1+CJ$53)*$N57,0))))</f>
        <v>61</v>
      </c>
      <c r="CL57" s="124">
        <f t="shared" si="36"/>
        <v>-5012.4815296000015</v>
      </c>
      <c r="CM57" s="124">
        <f t="shared" si="37"/>
        <v>0</v>
      </c>
      <c r="CN57" s="124">
        <f>CN56+CO57-MIN(CN56,ROUND(CN56*Supuestos!$C$71*Supuestos!$F$13,0))</f>
        <v>299</v>
      </c>
      <c r="CO57" s="124">
        <f>MAX(0,MIN(ROUND(Supuestos!$F$12*(1+CN$53)*$N57,0),IF(Supuestos!$C$72&gt;0,Supuestos!$C$72-CN56+MIN(CN56,ROUND(CN56*Supuestos!$C$71*Supuestos!$F$13,0)),ROUND(Supuestos!$F$12*(1+CN$53)*$N57,0))))</f>
        <v>61</v>
      </c>
      <c r="CP57" s="124">
        <f t="shared" si="38"/>
        <v>-4469.8687680000003</v>
      </c>
      <c r="CQ57" s="124">
        <f t="shared" si="39"/>
        <v>0</v>
      </c>
      <c r="CR57" s="124">
        <f>CR56+CS57-MIN(CR56,ROUND(CR56*Supuestos!$C$71*Supuestos!$F$13,0))</f>
        <v>299</v>
      </c>
      <c r="CS57" s="124">
        <f>MAX(0,MIN(ROUND(Supuestos!$F$12*(1+CR$53)*$N57,0),IF(Supuestos!$C$72&gt;0,Supuestos!$C$72-CR56+MIN(CR56,ROUND(CR56*Supuestos!$C$71*Supuestos!$F$13,0)),ROUND(Supuestos!$F$12*(1+CR$53)*$N57,0))))</f>
        <v>61</v>
      </c>
      <c r="CT57" s="124">
        <f t="shared" si="40"/>
        <v>-3927.2560064000008</v>
      </c>
      <c r="CU57" s="124">
        <f t="shared" si="41"/>
        <v>0</v>
      </c>
      <c r="CV57" s="124">
        <f>CV56+CW57-MIN(CV56,ROUND(CV56*Supuestos!$C$71*Supuestos!$F$13,0))</f>
        <v>299</v>
      </c>
      <c r="CW57" s="124">
        <f>MAX(0,MIN(ROUND(Supuestos!$F$12*(1+CV$53)*$N57,0),IF(Supuestos!$C$72&gt;0,Supuestos!$C$72-CV56+MIN(CV56,ROUND(CV56*Supuestos!$C$71*Supuestos!$F$13,0)),ROUND(Supuestos!$F$12*(1+CV$53)*$N57,0))))</f>
        <v>61</v>
      </c>
      <c r="CX57" s="124">
        <f t="shared" si="42"/>
        <v>-3384.6432447999996</v>
      </c>
      <c r="CY57" s="124">
        <f t="shared" si="43"/>
        <v>0</v>
      </c>
      <c r="CZ57" s="124">
        <f>CZ56+DA57-MIN(CZ56,ROUND(CZ56*Supuestos!$C$71*Supuestos!$F$13,0))</f>
        <v>325</v>
      </c>
      <c r="DA57" s="124">
        <f>MAX(0,MIN(ROUND(Supuestos!$F$12*(1+CZ$53)*$N57,0),IF(Supuestos!$C$72&gt;0,Supuestos!$C$72-CZ56+MIN(CZ56,ROUND(CZ56*Supuestos!$C$71*Supuestos!$F$13,0)),ROUND(Supuestos!$F$12*(1+CZ$53)*$N57,0))))</f>
        <v>66</v>
      </c>
      <c r="DB57" s="124">
        <f t="shared" si="44"/>
        <v>-4537.2033600000013</v>
      </c>
      <c r="DC57" s="124">
        <f t="shared" si="45"/>
        <v>0</v>
      </c>
      <c r="DD57" s="124">
        <f>DD56+DE57-MIN(DD56,ROUND(DD56*Supuestos!$C$71*Supuestos!$F$13,0))</f>
        <v>325</v>
      </c>
      <c r="DE57" s="124">
        <f>MAX(0,MIN(ROUND(Supuestos!$F$12*(1+DD$53)*$N57,0),IF(Supuestos!$C$72&gt;0,Supuestos!$C$72-DD56+MIN(DD56,ROUND(DD56*Supuestos!$C$71*Supuestos!$F$13,0)),ROUND(Supuestos!$F$12*(1+DD$53)*$N57,0))))</f>
        <v>66</v>
      </c>
      <c r="DF57" s="124">
        <f t="shared" si="46"/>
        <v>-3947.4068800000023</v>
      </c>
      <c r="DG57" s="124">
        <f t="shared" si="47"/>
        <v>0</v>
      </c>
      <c r="DH57" s="124">
        <f>DH56+DI57-MIN(DH56,ROUND(DH56*Supuestos!$C$71*Supuestos!$F$13,0))</f>
        <v>325</v>
      </c>
      <c r="DI57" s="124">
        <f>MAX(0,MIN(ROUND(Supuestos!$F$12*(1+DH$53)*$N57,0),IF(Supuestos!$C$72&gt;0,Supuestos!$C$72-DH56+MIN(DH56,ROUND(DH56*Supuestos!$C$71*Supuestos!$F$13,0)),ROUND(Supuestos!$F$12*(1+DH$53)*$N57,0))))</f>
        <v>66</v>
      </c>
      <c r="DJ57" s="124">
        <f t="shared" si="48"/>
        <v>-3357.6104000000014</v>
      </c>
      <c r="DK57" s="124">
        <f t="shared" si="49"/>
        <v>0</v>
      </c>
      <c r="DL57" s="124">
        <f>DL56+DM57-MIN(DL56,ROUND(DL56*Supuestos!$C$71*Supuestos!$F$13,0))</f>
        <v>325</v>
      </c>
      <c r="DM57" s="124">
        <f>MAX(0,MIN(ROUND(Supuestos!$F$12*(1+DL$53)*$N57,0),IF(Supuestos!$C$72&gt;0,Supuestos!$C$72-DL56+MIN(DL56,ROUND(DL56*Supuestos!$C$71*Supuestos!$F$13,0)),ROUND(Supuestos!$F$12*(1+DL$53)*$N57,0))))</f>
        <v>66</v>
      </c>
      <c r="DN57" s="124">
        <f t="shared" si="50"/>
        <v>-2767.8139200000005</v>
      </c>
      <c r="DO57" s="124">
        <f t="shared" si="51"/>
        <v>0</v>
      </c>
      <c r="DP57" s="124">
        <f>DP56+DQ57-MIN(DP56,ROUND(DP56*Supuestos!$C$71*Supuestos!$F$13,0))</f>
        <v>325</v>
      </c>
      <c r="DQ57" s="124">
        <f>MAX(0,MIN(ROUND(Supuestos!$F$12*(1+DP$53)*$N57,0),IF(Supuestos!$C$72&gt;0,Supuestos!$C$72-DP56+MIN(DP56,ROUND(DP56*Supuestos!$C$71*Supuestos!$F$13,0)),ROUND(Supuestos!$F$12*(1+DP$53)*$N57,0))))</f>
        <v>66</v>
      </c>
      <c r="DR57" s="124">
        <f t="shared" si="52"/>
        <v>-2178.0174399999996</v>
      </c>
      <c r="DS57" s="124">
        <f t="shared" si="53"/>
        <v>0</v>
      </c>
    </row>
    <row r="58" spans="2:123" ht="13.5" customHeight="1" x14ac:dyDescent="0.2">
      <c r="B58" s="7" t="str">
        <f>"Mes 3  ·  "&amp;CHOOSE(MONTH(DATE(YEAR(Supuestos!$C$8),MONTH(Supuestos!$C$8)+(3)-1,1)),"ene","feb","mar","abr","may","jun","jul","ago","sep","oct","nov","dic")&amp;" "&amp;YEAR(DATE(YEAR(Supuestos!$C$8),MONTH(Supuestos!$C$8)+(3)-1,1))</f>
        <v>Mes 3  ·  nov 2027</v>
      </c>
      <c r="C58" s="74">
        <f>'Previsión 36 meses'!$E$14</f>
        <v>300</v>
      </c>
      <c r="D58" s="72">
        <f t="shared" si="2"/>
        <v>445</v>
      </c>
      <c r="E58" s="59">
        <f>'Previsión 36 meses'!$E$19</f>
        <v>13470.8</v>
      </c>
      <c r="F58" s="59">
        <f>'Previsión 36 meses'!$E$31+'Previsión 36 meses'!$E$35</f>
        <v>18316.649600000001</v>
      </c>
      <c r="G58" s="59">
        <f>'Previsión 36 meses'!$E$36</f>
        <v>-4845.8496000000005</v>
      </c>
      <c r="H58" s="59">
        <f>'Previsión 36 meses'!$E$42</f>
        <v>-5595.8496000000005</v>
      </c>
      <c r="I58" s="76">
        <f>'Previsión 36 meses'!$E$43</f>
        <v>36910.617727999997</v>
      </c>
      <c r="J58" s="59">
        <f t="shared" si="3"/>
        <v>-14639.382272000003</v>
      </c>
      <c r="M58" s="119">
        <v>3</v>
      </c>
      <c r="N58" s="123">
        <f>IF($M58&lt;=12,INDEX(Supuestos!$C$55:$C$66,$M58)+IF($M58=1,Supuestos!$C$52,0),IF($M58&lt;=24,Supuestos!$C$69,Supuestos!$C$70)*IFERROR(INDEX(Supuestos!$C$55:$C$66,MOD($M58-1,12)+1)/AVERAGE(Supuestos!$C$55:$C$66),1))</f>
        <v>40</v>
      </c>
      <c r="O58" s="123">
        <f>Supuestos!$C$45*Supuestos!$F$14*(1+Supuestos!$C$112)^INT(($M58-1)/12)*(1-Supuestos!$C$98)</f>
        <v>36.295167999999997</v>
      </c>
      <c r="P58" s="123">
        <f>(Supuestos!$C$48+Supuestos!$C$49)*(1+Supuestos!$C$112)^INT(($M58-1)/12)*(1-Supuestos!$C$98-Supuestos!$C$99)</f>
        <v>2.6840000000000002</v>
      </c>
      <c r="Q58" s="123">
        <f>Supuestos!$C$47*(1+Supuestos!$C$112)^INT(($M58-1)/12)*(1-Supuestos!$C$98)</f>
        <v>19.759999999999998</v>
      </c>
      <c r="R58" s="120">
        <f>'Previsión 36 meses'!$E$31</f>
        <v>17330</v>
      </c>
      <c r="S58" s="120">
        <f t="shared" si="0"/>
        <v>36910.617727999997</v>
      </c>
      <c r="T58" s="120">
        <f t="shared" si="1"/>
        <v>0</v>
      </c>
      <c r="U58" s="22" t="str">
        <f>CHOOSE(MONTH(DATE(YEAR(Supuestos!$C$8),MONTH(Supuestos!$C$8)+(3)-1,1)),"ene","feb","mar","abr","may","jun","jul","ago","sep","oct","nov","dic")&amp;" "&amp;RIGHT(YEAR(DATE(YEAR(Supuestos!$C$8),MONTH(Supuestos!$C$8)+(3)-1,1)),2)</f>
        <v>nov 27</v>
      </c>
      <c r="V58" s="121">
        <f>IF(AND(Supuestos!$C$33&gt;0,J58&gt;=Supuestos!$C$33),1,0)</f>
        <v>0</v>
      </c>
      <c r="X58" s="124">
        <f>X57+Y58-MIN(X57,ROUND(X57*Supuestos!$C$71*Supuestos!$F$13,0))</f>
        <v>240</v>
      </c>
      <c r="Y58" s="124">
        <f>MAX(0,MIN(ROUND(Supuestos!$F$12*(1+X$53)*$N58,0),IF(Supuestos!$C$72&gt;0,Supuestos!$C$72-X57+MIN(X57,ROUND(X57*Supuestos!$C$71*Supuestos!$F$13,0)),ROUND(Supuestos!$F$12*(1+X$53)*$N58,0))))</f>
        <v>32</v>
      </c>
      <c r="Z58" s="124">
        <f t="shared" si="4"/>
        <v>-8213.7637120000018</v>
      </c>
      <c r="AA58" s="124">
        <f t="shared" si="5"/>
        <v>0</v>
      </c>
      <c r="AB58" s="124">
        <f>AB57+AC58-MIN(AB57,ROUND(AB57*Supuestos!$C$71*Supuestos!$F$13,0))</f>
        <v>240</v>
      </c>
      <c r="AC58" s="124">
        <f>MAX(0,MIN(ROUND(Supuestos!$F$12*(1+AB$53)*$N58,0),IF(Supuestos!$C$72&gt;0,Supuestos!$C$72-AB57+MIN(AB57,ROUND(AB57*Supuestos!$C$71*Supuestos!$F$13,0)),ROUND(Supuestos!$F$12*(1+AB$53)*$N58,0))))</f>
        <v>32</v>
      </c>
      <c r="AD58" s="124">
        <f t="shared" si="6"/>
        <v>-7778.2216960000023</v>
      </c>
      <c r="AE58" s="124">
        <f t="shared" si="7"/>
        <v>0</v>
      </c>
      <c r="AF58" s="124">
        <f>AF57+AG58-MIN(AF57,ROUND(AF57*Supuestos!$C$71*Supuestos!$F$13,0))</f>
        <v>240</v>
      </c>
      <c r="AG58" s="124">
        <f>MAX(0,MIN(ROUND(Supuestos!$F$12*(1+AF$53)*$N58,0),IF(Supuestos!$C$72&gt;0,Supuestos!$C$72-AF57+MIN(AF57,ROUND(AF57*Supuestos!$C$71*Supuestos!$F$13,0)),ROUND(Supuestos!$F$12*(1+AF$53)*$N58,0))))</f>
        <v>32</v>
      </c>
      <c r="AH58" s="124">
        <f t="shared" si="8"/>
        <v>-7342.6796800000011</v>
      </c>
      <c r="AI58" s="124">
        <f t="shared" si="9"/>
        <v>0</v>
      </c>
      <c r="AJ58" s="124">
        <f>AJ57+AK58-MIN(AJ57,ROUND(AJ57*Supuestos!$C$71*Supuestos!$F$13,0))</f>
        <v>240</v>
      </c>
      <c r="AK58" s="124">
        <f>MAX(0,MIN(ROUND(Supuestos!$F$12*(1+AJ$53)*$N58,0),IF(Supuestos!$C$72&gt;0,Supuestos!$C$72-AJ57+MIN(AJ57,ROUND(AJ57*Supuestos!$C$71*Supuestos!$F$13,0)),ROUND(Supuestos!$F$12*(1+AJ$53)*$N58,0))))</f>
        <v>32</v>
      </c>
      <c r="AL58" s="124">
        <f t="shared" si="10"/>
        <v>-6907.1376640000017</v>
      </c>
      <c r="AM58" s="124">
        <f t="shared" si="11"/>
        <v>0</v>
      </c>
      <c r="AN58" s="124">
        <f>AN57+AO58-MIN(AN57,ROUND(AN57*Supuestos!$C$71*Supuestos!$F$13,0))</f>
        <v>240</v>
      </c>
      <c r="AO58" s="124">
        <f>MAX(0,MIN(ROUND(Supuestos!$F$12*(1+AN$53)*$N58,0),IF(Supuestos!$C$72&gt;0,Supuestos!$C$72-AN57+MIN(AN57,ROUND(AN57*Supuestos!$C$71*Supuestos!$F$13,0)),ROUND(Supuestos!$F$12*(1+AN$53)*$N58,0))))</f>
        <v>32</v>
      </c>
      <c r="AP58" s="124">
        <f t="shared" si="12"/>
        <v>-6471.5956480000004</v>
      </c>
      <c r="AQ58" s="124">
        <f t="shared" si="13"/>
        <v>0</v>
      </c>
      <c r="AR58" s="124">
        <f>AR57+AS58-MIN(AR57,ROUND(AR57*Supuestos!$C$71*Supuestos!$F$13,0))</f>
        <v>271</v>
      </c>
      <c r="AS58" s="124">
        <f>MAX(0,MIN(ROUND(Supuestos!$F$12*(1+AR$53)*$N58,0),IF(Supuestos!$C$72&gt;0,Supuestos!$C$72-AR57+MIN(AR57,ROUND(AR57*Supuestos!$C$71*Supuestos!$F$13,0)),ROUND(Supuestos!$F$12*(1+AR$53)*$N58,0))))</f>
        <v>36</v>
      </c>
      <c r="AT58" s="124">
        <f t="shared" si="14"/>
        <v>-7038.8845247999998</v>
      </c>
      <c r="AU58" s="124">
        <f t="shared" si="15"/>
        <v>0</v>
      </c>
      <c r="AV58" s="124">
        <f>AV57+AW58-MIN(AV57,ROUND(AV57*Supuestos!$C$71*Supuestos!$F$13,0))</f>
        <v>271</v>
      </c>
      <c r="AW58" s="124">
        <f>MAX(0,MIN(ROUND(Supuestos!$F$12*(1+AV$53)*$N58,0),IF(Supuestos!$C$72&gt;0,Supuestos!$C$72-AV57+MIN(AV57,ROUND(AV57*Supuestos!$C$71*Supuestos!$F$13,0)),ROUND(Supuestos!$F$12*(1+AV$53)*$N58,0))))</f>
        <v>36</v>
      </c>
      <c r="AX58" s="124">
        <f t="shared" si="16"/>
        <v>-6547.0849984000015</v>
      </c>
      <c r="AY58" s="124">
        <f t="shared" si="17"/>
        <v>0</v>
      </c>
      <c r="AZ58" s="124">
        <f>AZ57+BA58-MIN(AZ57,ROUND(AZ57*Supuestos!$C$71*Supuestos!$F$13,0))</f>
        <v>271</v>
      </c>
      <c r="BA58" s="124">
        <f>MAX(0,MIN(ROUND(Supuestos!$F$12*(1+AZ$53)*$N58,0),IF(Supuestos!$C$72&gt;0,Supuestos!$C$72-AZ57+MIN(AZ57,ROUND(AZ57*Supuestos!$C$71*Supuestos!$F$13,0)),ROUND(Supuestos!$F$12*(1+AZ$53)*$N58,0))))</f>
        <v>36</v>
      </c>
      <c r="BB58" s="124">
        <f t="shared" si="18"/>
        <v>-6055.2854720000014</v>
      </c>
      <c r="BC58" s="124">
        <f t="shared" si="19"/>
        <v>0</v>
      </c>
      <c r="BD58" s="124">
        <f>BD57+BE58-MIN(BD57,ROUND(BD57*Supuestos!$C$71*Supuestos!$F$13,0))</f>
        <v>271</v>
      </c>
      <c r="BE58" s="124">
        <f>MAX(0,MIN(ROUND(Supuestos!$F$12*(1+BD$53)*$N58,0),IF(Supuestos!$C$72&gt;0,Supuestos!$C$72-BD57+MIN(BD57,ROUND(BD57*Supuestos!$C$71*Supuestos!$F$13,0)),ROUND(Supuestos!$F$12*(1+BD$53)*$N58,0))))</f>
        <v>36</v>
      </c>
      <c r="BF58" s="124">
        <f t="shared" si="20"/>
        <v>-5563.4859455999995</v>
      </c>
      <c r="BG58" s="124">
        <f t="shared" si="21"/>
        <v>0</v>
      </c>
      <c r="BH58" s="124">
        <f>BH57+BI58-MIN(BH57,ROUND(BH57*Supuestos!$C$71*Supuestos!$F$13,0))</f>
        <v>271</v>
      </c>
      <c r="BI58" s="124">
        <f>MAX(0,MIN(ROUND(Supuestos!$F$12*(1+BH$53)*$N58,0),IF(Supuestos!$C$72&gt;0,Supuestos!$C$72-BH57+MIN(BH57,ROUND(BH57*Supuestos!$C$71*Supuestos!$F$13,0)),ROUND(Supuestos!$F$12*(1+BH$53)*$N58,0))))</f>
        <v>36</v>
      </c>
      <c r="BJ58" s="124">
        <f t="shared" si="22"/>
        <v>-5071.6864191999994</v>
      </c>
      <c r="BK58" s="124">
        <f t="shared" si="23"/>
        <v>0</v>
      </c>
      <c r="BL58" s="124">
        <f>BL57+BM58-MIN(BL57,ROUND(BL57*Supuestos!$C$71*Supuestos!$F$13,0))</f>
        <v>300</v>
      </c>
      <c r="BM58" s="124">
        <f>MAX(0,MIN(ROUND(Supuestos!$F$12*(1+BL$53)*$N58,0),IF(Supuestos!$C$72&gt;0,Supuestos!$C$72-BL57+MIN(BL57,ROUND(BL57*Supuestos!$C$71*Supuestos!$F$13,0)),ROUND(Supuestos!$F$12*(1+BL$53)*$N58,0))))</f>
        <v>40</v>
      </c>
      <c r="BN58" s="124">
        <f t="shared" si="24"/>
        <v>-5934.7046400000017</v>
      </c>
      <c r="BO58" s="124">
        <f t="shared" si="25"/>
        <v>0</v>
      </c>
      <c r="BP58" s="124">
        <f>BP57+BQ58-MIN(BP57,ROUND(BP57*Supuestos!$C$71*Supuestos!$F$13,0))</f>
        <v>300</v>
      </c>
      <c r="BQ58" s="124">
        <f>MAX(0,MIN(ROUND(Supuestos!$F$12*(1+BP$53)*$N58,0),IF(Supuestos!$C$72&gt;0,Supuestos!$C$72-BP57+MIN(BP57,ROUND(BP57*Supuestos!$C$71*Supuestos!$F$13,0)),ROUND(Supuestos!$F$12*(1+BP$53)*$N58,0))))</f>
        <v>40</v>
      </c>
      <c r="BR58" s="124">
        <f t="shared" si="26"/>
        <v>-5390.2771200000025</v>
      </c>
      <c r="BS58" s="124">
        <f t="shared" si="27"/>
        <v>0</v>
      </c>
      <c r="BT58" s="124">
        <f>BT57+BU58-MIN(BT57,ROUND(BT57*Supuestos!$C$71*Supuestos!$F$13,0))</f>
        <v>300</v>
      </c>
      <c r="BU58" s="124">
        <f>MAX(0,MIN(ROUND(Supuestos!$F$12*(1+BT$53)*$N58,0),IF(Supuestos!$C$72&gt;0,Supuestos!$C$72-BT57+MIN(BT57,ROUND(BT57*Supuestos!$C$71*Supuestos!$F$13,0)),ROUND(Supuestos!$F$12*(1+BT$53)*$N58,0))))</f>
        <v>40</v>
      </c>
      <c r="BV58" s="124">
        <f t="shared" si="28"/>
        <v>-4845.8496000000014</v>
      </c>
      <c r="BW58" s="124">
        <f t="shared" si="29"/>
        <v>0</v>
      </c>
      <c r="BX58" s="124">
        <f>BX57+BY58-MIN(BX57,ROUND(BX57*Supuestos!$C$71*Supuestos!$F$13,0))</f>
        <v>300</v>
      </c>
      <c r="BY58" s="124">
        <f>MAX(0,MIN(ROUND(Supuestos!$F$12*(1+BX$53)*$N58,0),IF(Supuestos!$C$72&gt;0,Supuestos!$C$72-BX57+MIN(BX57,ROUND(BX57*Supuestos!$C$71*Supuestos!$F$13,0)),ROUND(Supuestos!$F$12*(1+BX$53)*$N58,0))))</f>
        <v>40</v>
      </c>
      <c r="BZ58" s="124">
        <f t="shared" si="30"/>
        <v>-4301.4220800000021</v>
      </c>
      <c r="CA58" s="124">
        <f t="shared" si="31"/>
        <v>0</v>
      </c>
      <c r="CB58" s="124">
        <f>CB57+CC58-MIN(CB57,ROUND(CB57*Supuestos!$C$71*Supuestos!$F$13,0))</f>
        <v>300</v>
      </c>
      <c r="CC58" s="124">
        <f>MAX(0,MIN(ROUND(Supuestos!$F$12*(1+CB$53)*$N58,0),IF(Supuestos!$C$72&gt;0,Supuestos!$C$72-CB57+MIN(CB57,ROUND(CB57*Supuestos!$C$71*Supuestos!$F$13,0)),ROUND(Supuestos!$F$12*(1+CB$53)*$N58,0))))</f>
        <v>40</v>
      </c>
      <c r="CD58" s="124">
        <f t="shared" si="32"/>
        <v>-3756.994560000001</v>
      </c>
      <c r="CE58" s="124">
        <f t="shared" si="33"/>
        <v>0</v>
      </c>
      <c r="CF58" s="124">
        <f>CF57+CG58-MIN(CF57,ROUND(CF57*Supuestos!$C$71*Supuestos!$F$13,0))</f>
        <v>331</v>
      </c>
      <c r="CG58" s="124">
        <f>MAX(0,MIN(ROUND(Supuestos!$F$12*(1+CF$53)*$N58,0),IF(Supuestos!$C$72&gt;0,Supuestos!$C$72-CF57+MIN(CF57,ROUND(CF57*Supuestos!$C$71*Supuestos!$F$13,0)),ROUND(Supuestos!$F$12*(1+CF$53)*$N58,0))))</f>
        <v>44</v>
      </c>
      <c r="CH58" s="124">
        <f t="shared" si="34"/>
        <v>-4759.8254527999998</v>
      </c>
      <c r="CI58" s="124">
        <f t="shared" si="35"/>
        <v>0</v>
      </c>
      <c r="CJ58" s="124">
        <f>CJ57+CK58-MIN(CJ57,ROUND(CJ57*Supuestos!$C$71*Supuestos!$F$13,0))</f>
        <v>331</v>
      </c>
      <c r="CK58" s="124">
        <f>MAX(0,MIN(ROUND(Supuestos!$F$12*(1+CJ$53)*$N58,0),IF(Supuestos!$C$72&gt;0,Supuestos!$C$72-CJ57+MIN(CJ57,ROUND(CJ57*Supuestos!$C$71*Supuestos!$F$13,0)),ROUND(Supuestos!$F$12*(1+CJ$53)*$N58,0))))</f>
        <v>44</v>
      </c>
      <c r="CL58" s="124">
        <f t="shared" si="36"/>
        <v>-4159.1404224000016</v>
      </c>
      <c r="CM58" s="124">
        <f t="shared" si="37"/>
        <v>0</v>
      </c>
      <c r="CN58" s="124">
        <f>CN57+CO58-MIN(CN57,ROUND(CN57*Supuestos!$C$71*Supuestos!$F$13,0))</f>
        <v>331</v>
      </c>
      <c r="CO58" s="124">
        <f>MAX(0,MIN(ROUND(Supuestos!$F$12*(1+CN$53)*$N58,0),IF(Supuestos!$C$72&gt;0,Supuestos!$C$72-CN57+MIN(CN57,ROUND(CN57*Supuestos!$C$71*Supuestos!$F$13,0)),ROUND(Supuestos!$F$12*(1+CN$53)*$N58,0))))</f>
        <v>44</v>
      </c>
      <c r="CP58" s="124">
        <f t="shared" si="38"/>
        <v>-3558.4553920000017</v>
      </c>
      <c r="CQ58" s="124">
        <f t="shared" si="39"/>
        <v>0</v>
      </c>
      <c r="CR58" s="124">
        <f>CR57+CS58-MIN(CR57,ROUND(CR57*Supuestos!$C$71*Supuestos!$F$13,0))</f>
        <v>331</v>
      </c>
      <c r="CS58" s="124">
        <f>MAX(0,MIN(ROUND(Supuestos!$F$12*(1+CR$53)*$N58,0),IF(Supuestos!$C$72&gt;0,Supuestos!$C$72-CR57+MIN(CR57,ROUND(CR57*Supuestos!$C$71*Supuestos!$F$13,0)),ROUND(Supuestos!$F$12*(1+CR$53)*$N58,0))))</f>
        <v>44</v>
      </c>
      <c r="CT58" s="124">
        <f t="shared" si="40"/>
        <v>-2957.7703615999999</v>
      </c>
      <c r="CU58" s="124">
        <f t="shared" si="41"/>
        <v>0</v>
      </c>
      <c r="CV58" s="124">
        <f>CV57+CW58-MIN(CV57,ROUND(CV57*Supuestos!$C$71*Supuestos!$F$13,0))</f>
        <v>331</v>
      </c>
      <c r="CW58" s="124">
        <f>MAX(0,MIN(ROUND(Supuestos!$F$12*(1+CV$53)*$N58,0),IF(Supuestos!$C$72&gt;0,Supuestos!$C$72-CV57+MIN(CV57,ROUND(CV57*Supuestos!$C$71*Supuestos!$F$13,0)),ROUND(Supuestos!$F$12*(1+CV$53)*$N58,0))))</f>
        <v>44</v>
      </c>
      <c r="CX58" s="124">
        <f t="shared" si="42"/>
        <v>-2357.0853311999999</v>
      </c>
      <c r="CY58" s="124">
        <f t="shared" si="43"/>
        <v>0</v>
      </c>
      <c r="CZ58" s="124">
        <f>CZ57+DA58-MIN(CZ57,ROUND(CZ57*Supuestos!$C$71*Supuestos!$F$13,0))</f>
        <v>360</v>
      </c>
      <c r="DA58" s="124">
        <f>MAX(0,MIN(ROUND(Supuestos!$F$12*(1+CZ$53)*$N58,0),IF(Supuestos!$C$72&gt;0,Supuestos!$C$72-CZ57+MIN(CZ57,ROUND(CZ57*Supuestos!$C$71*Supuestos!$F$13,0)),ROUND(Supuestos!$F$12*(1+CZ$53)*$N58,0))))</f>
        <v>48</v>
      </c>
      <c r="DB58" s="124">
        <f t="shared" si="44"/>
        <v>-3655.6455680000017</v>
      </c>
      <c r="DC58" s="124">
        <f t="shared" si="45"/>
        <v>0</v>
      </c>
      <c r="DD58" s="124">
        <f>DD57+DE58-MIN(DD57,ROUND(DD57*Supuestos!$C$71*Supuestos!$F$13,0))</f>
        <v>360</v>
      </c>
      <c r="DE58" s="124">
        <f>MAX(0,MIN(ROUND(Supuestos!$F$12*(1+DD$53)*$N58,0),IF(Supuestos!$C$72&gt;0,Supuestos!$C$72-DD57+MIN(DD57,ROUND(DD57*Supuestos!$C$71*Supuestos!$F$13,0)),ROUND(Supuestos!$F$12*(1+DD$53)*$N58,0))))</f>
        <v>48</v>
      </c>
      <c r="DF58" s="124">
        <f t="shared" si="46"/>
        <v>-3002.3325440000026</v>
      </c>
      <c r="DG58" s="124">
        <f t="shared" si="47"/>
        <v>0</v>
      </c>
      <c r="DH58" s="124">
        <f>DH57+DI58-MIN(DH57,ROUND(DH57*Supuestos!$C$71*Supuestos!$F$13,0))</f>
        <v>360</v>
      </c>
      <c r="DI58" s="124">
        <f>MAX(0,MIN(ROUND(Supuestos!$F$12*(1+DH$53)*$N58,0),IF(Supuestos!$C$72&gt;0,Supuestos!$C$72-DH57+MIN(DH57,ROUND(DH57*Supuestos!$C$71*Supuestos!$F$13,0)),ROUND(Supuestos!$F$12*(1+DH$53)*$N58,0))))</f>
        <v>48</v>
      </c>
      <c r="DJ58" s="124">
        <f t="shared" si="48"/>
        <v>-2349.0195200000016</v>
      </c>
      <c r="DK58" s="124">
        <f t="shared" si="49"/>
        <v>0</v>
      </c>
      <c r="DL58" s="124">
        <f>DL57+DM58-MIN(DL57,ROUND(DL57*Supuestos!$C$71*Supuestos!$F$13,0))</f>
        <v>360</v>
      </c>
      <c r="DM58" s="124">
        <f>MAX(0,MIN(ROUND(Supuestos!$F$12*(1+DL$53)*$N58,0),IF(Supuestos!$C$72&gt;0,Supuestos!$C$72-DL57+MIN(DL57,ROUND(DL57*Supuestos!$C$71*Supuestos!$F$13,0)),ROUND(Supuestos!$F$12*(1+DL$53)*$N58,0))))</f>
        <v>48</v>
      </c>
      <c r="DN58" s="124">
        <f t="shared" si="50"/>
        <v>-1695.7064960000025</v>
      </c>
      <c r="DO58" s="124">
        <f t="shared" si="51"/>
        <v>0</v>
      </c>
      <c r="DP58" s="124">
        <f>DP57+DQ58-MIN(DP57,ROUND(DP57*Supuestos!$C$71*Supuestos!$F$13,0))</f>
        <v>360</v>
      </c>
      <c r="DQ58" s="124">
        <f>MAX(0,MIN(ROUND(Supuestos!$F$12*(1+DP$53)*$N58,0),IF(Supuestos!$C$72&gt;0,Supuestos!$C$72-DP57+MIN(DP57,ROUND(DP57*Supuestos!$C$71*Supuestos!$F$13,0)),ROUND(Supuestos!$F$12*(1+DP$53)*$N58,0))))</f>
        <v>48</v>
      </c>
      <c r="DR58" s="124">
        <f t="shared" si="52"/>
        <v>-1042.3934720000016</v>
      </c>
      <c r="DS58" s="124">
        <f t="shared" si="53"/>
        <v>0</v>
      </c>
    </row>
    <row r="59" spans="2:123" ht="13.5" customHeight="1" x14ac:dyDescent="0.2">
      <c r="B59" s="7" t="str">
        <f>"Mes 4  ·  "&amp;CHOOSE(MONTH(DATE(YEAR(Supuestos!$C$8),MONTH(Supuestos!$C$8)+(4)-1,1)),"ene","feb","mar","abr","may","jun","jul","ago","sep","oct","nov","dic")&amp;" "&amp;YEAR(DATE(YEAR(Supuestos!$C$8),MONTH(Supuestos!$C$8)+(4)-1,1))</f>
        <v>Mes 4  ·  dic 2027</v>
      </c>
      <c r="C59" s="74">
        <f>'Previsión 36 meses'!$F$14</f>
        <v>313</v>
      </c>
      <c r="D59" s="72">
        <f t="shared" si="2"/>
        <v>445</v>
      </c>
      <c r="E59" s="59">
        <f>'Previsión 36 meses'!$F$19</f>
        <v>13719.867999999999</v>
      </c>
      <c r="F59" s="59">
        <f>'Previsión 36 meses'!$F$31+'Previsión 36 meses'!$F$35</f>
        <v>18355.388416000002</v>
      </c>
      <c r="G59" s="59">
        <f>'Previsión 36 meses'!$F$36</f>
        <v>-4635.5204160000012</v>
      </c>
      <c r="H59" s="59">
        <f>'Previsión 36 meses'!$F$42</f>
        <v>-5385.5204160000012</v>
      </c>
      <c r="I59" s="76">
        <f>'Previsión 36 meses'!$F$43</f>
        <v>31525.097311999998</v>
      </c>
      <c r="J59" s="59">
        <f t="shared" si="3"/>
        <v>-19274.902688000002</v>
      </c>
      <c r="M59" s="119">
        <v>4</v>
      </c>
      <c r="N59" s="123">
        <f>IF($M59&lt;=12,INDEX(Supuestos!$C$55:$C$66,$M59)+IF($M59=1,Supuestos!$C$52,0),IF($M59&lt;=24,Supuestos!$C$69,Supuestos!$C$70)*IFERROR(INDEX(Supuestos!$C$55:$C$66,MOD($M59-1,12)+1)/AVERAGE(Supuestos!$C$55:$C$66),1))</f>
        <v>25</v>
      </c>
      <c r="O59" s="123">
        <f>Supuestos!$C$45*Supuestos!$F$14*(1+Supuestos!$C$112)^INT(($M59-1)/12)*(1-Supuestos!$C$98)</f>
        <v>36.295167999999997</v>
      </c>
      <c r="P59" s="123">
        <f>(Supuestos!$C$48+Supuestos!$C$49)*(1+Supuestos!$C$112)^INT(($M59-1)/12)*(1-Supuestos!$C$98-Supuestos!$C$99)</f>
        <v>2.6840000000000002</v>
      </c>
      <c r="Q59" s="123">
        <f>Supuestos!$C$47*(1+Supuestos!$C$112)^INT(($M59-1)/12)*(1-Supuestos!$C$98)</f>
        <v>19.759999999999998</v>
      </c>
      <c r="R59" s="120">
        <f>'Previsión 36 meses'!$F$31</f>
        <v>17330</v>
      </c>
      <c r="S59" s="120">
        <f t="shared" si="0"/>
        <v>31525.097311999998</v>
      </c>
      <c r="T59" s="120">
        <f t="shared" si="1"/>
        <v>0</v>
      </c>
      <c r="U59" s="22" t="str">
        <f>CHOOSE(MONTH(DATE(YEAR(Supuestos!$C$8),MONTH(Supuestos!$C$8)+(4)-1,1)),"ene","feb","mar","abr","may","jun","jul","ago","sep","oct","nov","dic")&amp;" "&amp;RIGHT(YEAR(DATE(YEAR(Supuestos!$C$8),MONTH(Supuestos!$C$8)+(4)-1,1)),2)</f>
        <v>dic 27</v>
      </c>
      <c r="V59" s="121">
        <f>IF(AND(Supuestos!$C$33&gt;0,J59&gt;=Supuestos!$C$33),1,0)</f>
        <v>0</v>
      </c>
      <c r="X59" s="124">
        <f>X58+Y59-MIN(X58,ROUND(X58*Supuestos!$C$71*Supuestos!$F$13,0))</f>
        <v>250</v>
      </c>
      <c r="Y59" s="124">
        <f>MAX(0,MIN(ROUND(Supuestos!$F$12*(1+X$53)*$N59,0),IF(Supuestos!$C$72&gt;0,Supuestos!$C$72-X58+MIN(X58,ROUND(X58*Supuestos!$C$71*Supuestos!$F$13,0)),ROUND(Supuestos!$F$12*(1+X$53)*$N59,0))))</f>
        <v>20</v>
      </c>
      <c r="Z59" s="124">
        <f t="shared" si="4"/>
        <v>-8097.3871999999992</v>
      </c>
      <c r="AA59" s="124">
        <f t="shared" si="5"/>
        <v>0</v>
      </c>
      <c r="AB59" s="124">
        <f>AB58+AC59-MIN(AB58,ROUND(AB58*Supuestos!$C$71*Supuestos!$F$13,0))</f>
        <v>250</v>
      </c>
      <c r="AC59" s="124">
        <f>MAX(0,MIN(ROUND(Supuestos!$F$12*(1+AB$53)*$N59,0),IF(Supuestos!$C$72&gt;0,Supuestos!$C$72-AB58+MIN(AB58,ROUND(AB58*Supuestos!$C$71*Supuestos!$F$13,0)),ROUND(Supuestos!$F$12*(1+AB$53)*$N59,0))))</f>
        <v>20</v>
      </c>
      <c r="AD59" s="124">
        <f t="shared" si="6"/>
        <v>-7643.6976000000013</v>
      </c>
      <c r="AE59" s="124">
        <f t="shared" si="7"/>
        <v>0</v>
      </c>
      <c r="AF59" s="124">
        <f>AF58+AG59-MIN(AF58,ROUND(AF58*Supuestos!$C$71*Supuestos!$F$13,0))</f>
        <v>250</v>
      </c>
      <c r="AG59" s="124">
        <f>MAX(0,MIN(ROUND(Supuestos!$F$12*(1+AF$53)*$N59,0),IF(Supuestos!$C$72&gt;0,Supuestos!$C$72-AF58+MIN(AF58,ROUND(AF58*Supuestos!$C$71*Supuestos!$F$13,0)),ROUND(Supuestos!$F$12*(1+AF$53)*$N59,0))))</f>
        <v>20</v>
      </c>
      <c r="AH59" s="124">
        <f t="shared" si="8"/>
        <v>-7190.0079999999998</v>
      </c>
      <c r="AI59" s="124">
        <f t="shared" si="9"/>
        <v>0</v>
      </c>
      <c r="AJ59" s="124">
        <f>AJ58+AK59-MIN(AJ58,ROUND(AJ58*Supuestos!$C$71*Supuestos!$F$13,0))</f>
        <v>250</v>
      </c>
      <c r="AK59" s="124">
        <f>MAX(0,MIN(ROUND(Supuestos!$F$12*(1+AJ$53)*$N59,0),IF(Supuestos!$C$72&gt;0,Supuestos!$C$72-AJ58+MIN(AJ58,ROUND(AJ58*Supuestos!$C$71*Supuestos!$F$13,0)),ROUND(Supuestos!$F$12*(1+AJ$53)*$N59,0))))</f>
        <v>20</v>
      </c>
      <c r="AL59" s="124">
        <f t="shared" si="10"/>
        <v>-6736.3184000000001</v>
      </c>
      <c r="AM59" s="124">
        <f t="shared" si="11"/>
        <v>0</v>
      </c>
      <c r="AN59" s="124">
        <f>AN58+AO59-MIN(AN58,ROUND(AN58*Supuestos!$C$71*Supuestos!$F$13,0))</f>
        <v>250</v>
      </c>
      <c r="AO59" s="124">
        <f>MAX(0,MIN(ROUND(Supuestos!$F$12*(1+AN$53)*$N59,0),IF(Supuestos!$C$72&gt;0,Supuestos!$C$72-AN58+MIN(AN58,ROUND(AN58*Supuestos!$C$71*Supuestos!$F$13,0)),ROUND(Supuestos!$F$12*(1+AN$53)*$N59,0))))</f>
        <v>20</v>
      </c>
      <c r="AP59" s="124">
        <f t="shared" si="12"/>
        <v>-6282.6288000000004</v>
      </c>
      <c r="AQ59" s="124">
        <f t="shared" si="13"/>
        <v>0</v>
      </c>
      <c r="AR59" s="124">
        <f>AR58+AS59-MIN(AR58,ROUND(AR58*Supuestos!$C$71*Supuestos!$F$13,0))</f>
        <v>283</v>
      </c>
      <c r="AS59" s="124">
        <f>MAX(0,MIN(ROUND(Supuestos!$F$12*(1+AR$53)*$N59,0),IF(Supuestos!$C$72&gt;0,Supuestos!$C$72-AR58+MIN(AR58,ROUND(AR58*Supuestos!$C$71*Supuestos!$F$13,0)),ROUND(Supuestos!$F$12*(1+AR$53)*$N59,0))))</f>
        <v>23</v>
      </c>
      <c r="AT59" s="124">
        <f t="shared" si="14"/>
        <v>-6871.5687104000008</v>
      </c>
      <c r="AU59" s="124">
        <f t="shared" si="15"/>
        <v>0</v>
      </c>
      <c r="AV59" s="124">
        <f>AV58+AW59-MIN(AV58,ROUND(AV58*Supuestos!$C$71*Supuestos!$F$13,0))</f>
        <v>283</v>
      </c>
      <c r="AW59" s="124">
        <f>MAX(0,MIN(ROUND(Supuestos!$F$12*(1+AV$53)*$N59,0),IF(Supuestos!$C$72&gt;0,Supuestos!$C$72-AV58+MIN(AV58,ROUND(AV58*Supuestos!$C$71*Supuestos!$F$13,0)),ROUND(Supuestos!$F$12*(1+AV$53)*$N59,0))))</f>
        <v>23</v>
      </c>
      <c r="AX59" s="124">
        <f t="shared" si="16"/>
        <v>-6357.9920832000025</v>
      </c>
      <c r="AY59" s="124">
        <f t="shared" si="17"/>
        <v>0</v>
      </c>
      <c r="AZ59" s="124">
        <f>AZ58+BA59-MIN(AZ58,ROUND(AZ58*Supuestos!$C$71*Supuestos!$F$13,0))</f>
        <v>283</v>
      </c>
      <c r="BA59" s="124">
        <f>MAX(0,MIN(ROUND(Supuestos!$F$12*(1+AZ$53)*$N59,0),IF(Supuestos!$C$72&gt;0,Supuestos!$C$72-AZ58+MIN(AZ58,ROUND(AZ58*Supuestos!$C$71*Supuestos!$F$13,0)),ROUND(Supuestos!$F$12*(1+AZ$53)*$N59,0))))</f>
        <v>23</v>
      </c>
      <c r="BB59" s="124">
        <f t="shared" si="18"/>
        <v>-5844.4154560000025</v>
      </c>
      <c r="BC59" s="124">
        <f t="shared" si="19"/>
        <v>0</v>
      </c>
      <c r="BD59" s="124">
        <f>BD58+BE59-MIN(BD58,ROUND(BD58*Supuestos!$C$71*Supuestos!$F$13,0))</f>
        <v>283</v>
      </c>
      <c r="BE59" s="124">
        <f>MAX(0,MIN(ROUND(Supuestos!$F$12*(1+BD$53)*$N59,0),IF(Supuestos!$C$72&gt;0,Supuestos!$C$72-BD58+MIN(BD58,ROUND(BD58*Supuestos!$C$71*Supuestos!$F$13,0)),ROUND(Supuestos!$F$12*(1+BD$53)*$N59,0))))</f>
        <v>23</v>
      </c>
      <c r="BF59" s="124">
        <f t="shared" si="20"/>
        <v>-5330.8388288000006</v>
      </c>
      <c r="BG59" s="124">
        <f t="shared" si="21"/>
        <v>0</v>
      </c>
      <c r="BH59" s="124">
        <f>BH58+BI59-MIN(BH58,ROUND(BH58*Supuestos!$C$71*Supuestos!$F$13,0))</f>
        <v>283</v>
      </c>
      <c r="BI59" s="124">
        <f>MAX(0,MIN(ROUND(Supuestos!$F$12*(1+BH$53)*$N59,0),IF(Supuestos!$C$72&gt;0,Supuestos!$C$72-BH58+MIN(BH58,ROUND(BH58*Supuestos!$C$71*Supuestos!$F$13,0)),ROUND(Supuestos!$F$12*(1+BH$53)*$N59,0))))</f>
        <v>23</v>
      </c>
      <c r="BJ59" s="124">
        <f t="shared" si="22"/>
        <v>-4817.2622016000005</v>
      </c>
      <c r="BK59" s="124">
        <f t="shared" si="23"/>
        <v>0</v>
      </c>
      <c r="BL59" s="124">
        <f>BL58+BM59-MIN(BL58,ROUND(BL58*Supuestos!$C$71*Supuestos!$F$13,0))</f>
        <v>313</v>
      </c>
      <c r="BM59" s="124">
        <f>MAX(0,MIN(ROUND(Supuestos!$F$12*(1+BL$53)*$N59,0),IF(Supuestos!$C$72&gt;0,Supuestos!$C$72-BL58+MIN(BL58,ROUND(BL58*Supuestos!$C$71*Supuestos!$F$13,0)),ROUND(Supuestos!$F$12*(1+BL$53)*$N59,0))))</f>
        <v>25</v>
      </c>
      <c r="BN59" s="124">
        <f t="shared" si="24"/>
        <v>-5771.5591744000012</v>
      </c>
      <c r="BO59" s="124">
        <f t="shared" si="25"/>
        <v>0</v>
      </c>
      <c r="BP59" s="124">
        <f>BP58+BQ59-MIN(BP58,ROUND(BP58*Supuestos!$C$71*Supuestos!$F$13,0))</f>
        <v>313</v>
      </c>
      <c r="BQ59" s="124">
        <f>MAX(0,MIN(ROUND(Supuestos!$F$12*(1+BP$53)*$N59,0),IF(Supuestos!$C$72&gt;0,Supuestos!$C$72-BP58+MIN(BP58,ROUND(BP58*Supuestos!$C$71*Supuestos!$F$13,0)),ROUND(Supuestos!$F$12*(1+BP$53)*$N59,0))))</f>
        <v>25</v>
      </c>
      <c r="BR59" s="124">
        <f t="shared" si="26"/>
        <v>-5203.5397952000021</v>
      </c>
      <c r="BS59" s="124">
        <f t="shared" si="27"/>
        <v>0</v>
      </c>
      <c r="BT59" s="124">
        <f>BT58+BU59-MIN(BT58,ROUND(BT58*Supuestos!$C$71*Supuestos!$F$13,0))</f>
        <v>313</v>
      </c>
      <c r="BU59" s="124">
        <f>MAX(0,MIN(ROUND(Supuestos!$F$12*(1+BT$53)*$N59,0),IF(Supuestos!$C$72&gt;0,Supuestos!$C$72-BT58+MIN(BT58,ROUND(BT58*Supuestos!$C$71*Supuestos!$F$13,0)),ROUND(Supuestos!$F$12*(1+BT$53)*$N59,0))))</f>
        <v>25</v>
      </c>
      <c r="BV59" s="124">
        <f t="shared" si="28"/>
        <v>-4635.5204160000012</v>
      </c>
      <c r="BW59" s="124">
        <f t="shared" si="29"/>
        <v>0</v>
      </c>
      <c r="BX59" s="124">
        <f>BX58+BY59-MIN(BX58,ROUND(BX58*Supuestos!$C$71*Supuestos!$F$13,0))</f>
        <v>313</v>
      </c>
      <c r="BY59" s="124">
        <f>MAX(0,MIN(ROUND(Supuestos!$F$12*(1+BX$53)*$N59,0),IF(Supuestos!$C$72&gt;0,Supuestos!$C$72-BX58+MIN(BX58,ROUND(BX58*Supuestos!$C$71*Supuestos!$F$13,0)),ROUND(Supuestos!$F$12*(1+BX$53)*$N59,0))))</f>
        <v>25</v>
      </c>
      <c r="BZ59" s="124">
        <f t="shared" si="30"/>
        <v>-4067.5010368000003</v>
      </c>
      <c r="CA59" s="124">
        <f t="shared" si="31"/>
        <v>0</v>
      </c>
      <c r="CB59" s="124">
        <f>CB58+CC59-MIN(CB58,ROUND(CB58*Supuestos!$C$71*Supuestos!$F$13,0))</f>
        <v>313</v>
      </c>
      <c r="CC59" s="124">
        <f>MAX(0,MIN(ROUND(Supuestos!$F$12*(1+CB$53)*$N59,0),IF(Supuestos!$C$72&gt;0,Supuestos!$C$72-CB58+MIN(CB58,ROUND(CB58*Supuestos!$C$71*Supuestos!$F$13,0)),ROUND(Supuestos!$F$12*(1+CB$53)*$N59,0))))</f>
        <v>25</v>
      </c>
      <c r="CD59" s="124">
        <f t="shared" si="32"/>
        <v>-3499.4816576000012</v>
      </c>
      <c r="CE59" s="124">
        <f t="shared" si="33"/>
        <v>0</v>
      </c>
      <c r="CF59" s="124">
        <f>CF58+CG59-MIN(CF58,ROUND(CF58*Supuestos!$C$71*Supuestos!$F$13,0))</f>
        <v>346</v>
      </c>
      <c r="CG59" s="124">
        <f>MAX(0,MIN(ROUND(Supuestos!$F$12*(1+CF$53)*$N59,0),IF(Supuestos!$C$72&gt;0,Supuestos!$C$72-CF58+MIN(CF58,ROUND(CF58*Supuestos!$C$71*Supuestos!$F$13,0)),ROUND(Supuestos!$F$12*(1+CF$53)*$N59,0))))</f>
        <v>28</v>
      </c>
      <c r="CH59" s="124">
        <f t="shared" si="34"/>
        <v>-4545.740684800001</v>
      </c>
      <c r="CI59" s="124">
        <f t="shared" si="35"/>
        <v>0</v>
      </c>
      <c r="CJ59" s="124">
        <f>CJ58+CK59-MIN(CJ58,ROUND(CJ58*Supuestos!$C$71*Supuestos!$F$13,0))</f>
        <v>346</v>
      </c>
      <c r="CK59" s="124">
        <f>MAX(0,MIN(ROUND(Supuestos!$F$12*(1+CJ$53)*$N59,0),IF(Supuestos!$C$72&gt;0,Supuestos!$C$72-CJ58+MIN(CJ58,ROUND(CJ58*Supuestos!$C$71*Supuestos!$F$13,0)),ROUND(Supuestos!$F$12*(1+CJ$53)*$N59,0))))</f>
        <v>28</v>
      </c>
      <c r="CL59" s="124">
        <f t="shared" si="36"/>
        <v>-3917.8342784000015</v>
      </c>
      <c r="CM59" s="124">
        <f t="shared" si="37"/>
        <v>0</v>
      </c>
      <c r="CN59" s="124">
        <f>CN58+CO59-MIN(CN58,ROUND(CN58*Supuestos!$C$71*Supuestos!$F$13,0))</f>
        <v>346</v>
      </c>
      <c r="CO59" s="124">
        <f>MAX(0,MIN(ROUND(Supuestos!$F$12*(1+CN$53)*$N59,0),IF(Supuestos!$C$72&gt;0,Supuestos!$C$72-CN58+MIN(CN58,ROUND(CN58*Supuestos!$C$71*Supuestos!$F$13,0)),ROUND(Supuestos!$F$12*(1+CN$53)*$N59,0))))</f>
        <v>28</v>
      </c>
      <c r="CP59" s="124">
        <f t="shared" si="38"/>
        <v>-3289.927872000002</v>
      </c>
      <c r="CQ59" s="124">
        <f t="shared" si="39"/>
        <v>0</v>
      </c>
      <c r="CR59" s="124">
        <f>CR58+CS59-MIN(CR58,ROUND(CR58*Supuestos!$C$71*Supuestos!$F$13,0))</f>
        <v>346</v>
      </c>
      <c r="CS59" s="124">
        <f>MAX(0,MIN(ROUND(Supuestos!$F$12*(1+CR$53)*$N59,0),IF(Supuestos!$C$72&gt;0,Supuestos!$C$72-CR58+MIN(CR58,ROUND(CR58*Supuestos!$C$71*Supuestos!$F$13,0)),ROUND(Supuestos!$F$12*(1+CR$53)*$N59,0))))</f>
        <v>28</v>
      </c>
      <c r="CT59" s="124">
        <f t="shared" si="40"/>
        <v>-2662.0214656000007</v>
      </c>
      <c r="CU59" s="124">
        <f t="shared" si="41"/>
        <v>0</v>
      </c>
      <c r="CV59" s="124">
        <f>CV58+CW59-MIN(CV58,ROUND(CV58*Supuestos!$C$71*Supuestos!$F$13,0))</f>
        <v>346</v>
      </c>
      <c r="CW59" s="124">
        <f>MAX(0,MIN(ROUND(Supuestos!$F$12*(1+CV$53)*$N59,0),IF(Supuestos!$C$72&gt;0,Supuestos!$C$72-CV58+MIN(CV58,ROUND(CV58*Supuestos!$C$71*Supuestos!$F$13,0)),ROUND(Supuestos!$F$12*(1+CV$53)*$N59,0))))</f>
        <v>28</v>
      </c>
      <c r="CX59" s="124">
        <f t="shared" si="42"/>
        <v>-2034.1150591999995</v>
      </c>
      <c r="CY59" s="124">
        <f t="shared" si="43"/>
        <v>0</v>
      </c>
      <c r="CZ59" s="124">
        <f>CZ58+DA59-MIN(CZ58,ROUND(CZ58*Supuestos!$C$71*Supuestos!$F$13,0))</f>
        <v>376</v>
      </c>
      <c r="DA59" s="124">
        <f>MAX(0,MIN(ROUND(Supuestos!$F$12*(1+CZ$53)*$N59,0),IF(Supuestos!$C$72&gt;0,Supuestos!$C$72-CZ58+MIN(CZ58,ROUND(CZ58*Supuestos!$C$71*Supuestos!$F$13,0)),ROUND(Supuestos!$F$12*(1+CZ$53)*$N59,0))))</f>
        <v>30</v>
      </c>
      <c r="DB59" s="124">
        <f t="shared" si="44"/>
        <v>-3445.7311488000014</v>
      </c>
      <c r="DC59" s="124">
        <f t="shared" si="45"/>
        <v>0</v>
      </c>
      <c r="DD59" s="124">
        <f>DD58+DE59-MIN(DD58,ROUND(DD58*Supuestos!$C$71*Supuestos!$F$13,0))</f>
        <v>376</v>
      </c>
      <c r="DE59" s="124">
        <f>MAX(0,MIN(ROUND(Supuestos!$F$12*(1+DD$53)*$N59,0),IF(Supuestos!$C$72&gt;0,Supuestos!$C$72-DD58+MIN(DD58,ROUND(DD58*Supuestos!$C$71*Supuestos!$F$13,0)),ROUND(Supuestos!$F$12*(1+DD$53)*$N59,0))))</f>
        <v>30</v>
      </c>
      <c r="DF59" s="124">
        <f t="shared" si="46"/>
        <v>-2763.3819904000029</v>
      </c>
      <c r="DG59" s="124">
        <f t="shared" si="47"/>
        <v>0</v>
      </c>
      <c r="DH59" s="124">
        <f>DH58+DI59-MIN(DH58,ROUND(DH58*Supuestos!$C$71*Supuestos!$F$13,0))</f>
        <v>376</v>
      </c>
      <c r="DI59" s="124">
        <f>MAX(0,MIN(ROUND(Supuestos!$F$12*(1+DH$53)*$N59,0),IF(Supuestos!$C$72&gt;0,Supuestos!$C$72-DH58+MIN(DH58,ROUND(DH58*Supuestos!$C$71*Supuestos!$F$13,0)),ROUND(Supuestos!$F$12*(1+DH$53)*$N59,0))))</f>
        <v>30</v>
      </c>
      <c r="DJ59" s="124">
        <f t="shared" si="48"/>
        <v>-2081.0328320000026</v>
      </c>
      <c r="DK59" s="124">
        <f t="shared" si="49"/>
        <v>0</v>
      </c>
      <c r="DL59" s="124">
        <f>DL58+DM59-MIN(DL58,ROUND(DL58*Supuestos!$C$71*Supuestos!$F$13,0))</f>
        <v>376</v>
      </c>
      <c r="DM59" s="124">
        <f>MAX(0,MIN(ROUND(Supuestos!$F$12*(1+DL$53)*$N59,0),IF(Supuestos!$C$72&gt;0,Supuestos!$C$72-DL58+MIN(DL58,ROUND(DL58*Supuestos!$C$71*Supuestos!$F$13,0)),ROUND(Supuestos!$F$12*(1+DL$53)*$N59,0))))</f>
        <v>30</v>
      </c>
      <c r="DN59" s="124">
        <f t="shared" si="50"/>
        <v>-1398.6836736000023</v>
      </c>
      <c r="DO59" s="124">
        <f t="shared" si="51"/>
        <v>0</v>
      </c>
      <c r="DP59" s="124">
        <f>DP58+DQ59-MIN(DP58,ROUND(DP58*Supuestos!$C$71*Supuestos!$F$13,0))</f>
        <v>376</v>
      </c>
      <c r="DQ59" s="124">
        <f>MAX(0,MIN(ROUND(Supuestos!$F$12*(1+DP$53)*$N59,0),IF(Supuestos!$C$72&gt;0,Supuestos!$C$72-DP58+MIN(DP58,ROUND(DP58*Supuestos!$C$71*Supuestos!$F$13,0)),ROUND(Supuestos!$F$12*(1+DP$53)*$N59,0))))</f>
        <v>30</v>
      </c>
      <c r="DR59" s="124">
        <f t="shared" si="52"/>
        <v>-716.33451520000017</v>
      </c>
      <c r="DS59" s="124">
        <f t="shared" si="53"/>
        <v>0</v>
      </c>
    </row>
    <row r="60" spans="2:123" ht="13.5" customHeight="1" x14ac:dyDescent="0.2">
      <c r="B60" s="7" t="str">
        <f>"Mes 5  ·  "&amp;CHOOSE(MONTH(DATE(YEAR(Supuestos!$C$8),MONTH(Supuestos!$C$8)+(5)-1,1)),"ene","feb","mar","abr","may","jun","jul","ago","sep","oct","nov","dic")&amp;" "&amp;YEAR(DATE(YEAR(Supuestos!$C$8),MONTH(Supuestos!$C$8)+(5)-1,1))</f>
        <v>Mes 5  ·  ene 2028</v>
      </c>
      <c r="C60" s="74">
        <f>'Previsión 36 meses'!$G$14</f>
        <v>360</v>
      </c>
      <c r="D60" s="72">
        <f t="shared" si="2"/>
        <v>445</v>
      </c>
      <c r="E60" s="59">
        <f>'Previsión 36 meses'!$G$19</f>
        <v>16404.96</v>
      </c>
      <c r="F60" s="59">
        <f>'Previsión 36 meses'!$G$31+'Previsión 36 meses'!$G$35</f>
        <v>18516.859519999998</v>
      </c>
      <c r="G60" s="59">
        <f>'Previsión 36 meses'!$G$36</f>
        <v>-2111.8995200000008</v>
      </c>
      <c r="H60" s="59">
        <f>'Previsión 36 meses'!$G$42</f>
        <v>-2861.8995200000008</v>
      </c>
      <c r="I60" s="76">
        <f>'Previsión 36 meses'!$G$43</f>
        <v>28663.197791999999</v>
      </c>
      <c r="J60" s="59">
        <f t="shared" si="3"/>
        <v>-21386.802208000001</v>
      </c>
      <c r="M60" s="119">
        <v>5</v>
      </c>
      <c r="N60" s="123">
        <f>IF($M60&lt;=12,INDEX(Supuestos!$C$55:$C$66,$M60)+IF($M60=1,Supuestos!$C$52,0),IF($M60&lt;=24,Supuestos!$C$69,Supuestos!$C$70)*IFERROR(INDEX(Supuestos!$C$55:$C$66,MOD($M60-1,12)+1)/AVERAGE(Supuestos!$C$55:$C$66),1))</f>
        <v>60</v>
      </c>
      <c r="O60" s="123">
        <f>Supuestos!$C$45*Supuestos!$F$14*(1+Supuestos!$C$112)^INT(($M60-1)/12)*(1-Supuestos!$C$98)</f>
        <v>36.295167999999997</v>
      </c>
      <c r="P60" s="123">
        <f>(Supuestos!$C$48+Supuestos!$C$49)*(1+Supuestos!$C$112)^INT(($M60-1)/12)*(1-Supuestos!$C$98-Supuestos!$C$99)</f>
        <v>2.6840000000000002</v>
      </c>
      <c r="Q60" s="123">
        <f>Supuestos!$C$47*(1+Supuestos!$C$112)^INT(($M60-1)/12)*(1-Supuestos!$C$98)</f>
        <v>19.759999999999998</v>
      </c>
      <c r="R60" s="120">
        <f>'Previsión 36 meses'!$G$31</f>
        <v>17330</v>
      </c>
      <c r="S60" s="120">
        <f t="shared" si="0"/>
        <v>28663.197791999999</v>
      </c>
      <c r="T60" s="120">
        <f t="shared" si="1"/>
        <v>0</v>
      </c>
      <c r="U60" s="22" t="str">
        <f>CHOOSE(MONTH(DATE(YEAR(Supuestos!$C$8),MONTH(Supuestos!$C$8)+(5)-1,1)),"ene","feb","mar","abr","may","jun","jul","ago","sep","oct","nov","dic")&amp;" "&amp;RIGHT(YEAR(DATE(YEAR(Supuestos!$C$8),MONTH(Supuestos!$C$8)+(5)-1,1)),2)</f>
        <v>ene 28</v>
      </c>
      <c r="V60" s="121">
        <f>IF(AND(Supuestos!$C$33&gt;0,J60&gt;=Supuestos!$C$33),1,0)</f>
        <v>0</v>
      </c>
      <c r="X60" s="124">
        <f>X59+Y60-MIN(X59,ROUND(X59*Supuestos!$C$71*Supuestos!$F$13,0))</f>
        <v>288</v>
      </c>
      <c r="Y60" s="124">
        <f>MAX(0,MIN(ROUND(Supuestos!$F$12*(1+X$53)*$N60,0),IF(Supuestos!$C$72&gt;0,Supuestos!$C$72-X59+MIN(X59,ROUND(X59*Supuestos!$C$71*Supuestos!$F$13,0)),ROUND(Supuestos!$F$12*(1+X$53)*$N60,0))))</f>
        <v>48</v>
      </c>
      <c r="Z60" s="124">
        <f t="shared" si="4"/>
        <v>-6200.8204544000018</v>
      </c>
      <c r="AA60" s="124">
        <f t="shared" si="5"/>
        <v>0</v>
      </c>
      <c r="AB60" s="124">
        <f>AB59+AC60-MIN(AB59,ROUND(AB59*Supuestos!$C$71*Supuestos!$F$13,0))</f>
        <v>288</v>
      </c>
      <c r="AC60" s="124">
        <f>MAX(0,MIN(ROUND(Supuestos!$F$12*(1+AB$53)*$N60,0),IF(Supuestos!$C$72&gt;0,Supuestos!$C$72-AB59+MIN(AB59,ROUND(AB59*Supuestos!$C$71*Supuestos!$F$13,0)),ROUND(Supuestos!$F$12*(1+AB$53)*$N60,0))))</f>
        <v>48</v>
      </c>
      <c r="AD60" s="124">
        <f t="shared" si="6"/>
        <v>-5678.1700352000025</v>
      </c>
      <c r="AE60" s="124">
        <f t="shared" si="7"/>
        <v>0</v>
      </c>
      <c r="AF60" s="124">
        <f>AF59+AG60-MIN(AF59,ROUND(AF59*Supuestos!$C$71*Supuestos!$F$13,0))</f>
        <v>288</v>
      </c>
      <c r="AG60" s="124">
        <f>MAX(0,MIN(ROUND(Supuestos!$F$12*(1+AF$53)*$N60,0),IF(Supuestos!$C$72&gt;0,Supuestos!$C$72-AF59+MIN(AF59,ROUND(AF59*Supuestos!$C$71*Supuestos!$F$13,0)),ROUND(Supuestos!$F$12*(1+AF$53)*$N60,0))))</f>
        <v>48</v>
      </c>
      <c r="AH60" s="124">
        <f t="shared" si="8"/>
        <v>-5155.5196160000014</v>
      </c>
      <c r="AI60" s="124">
        <f t="shared" si="9"/>
        <v>0</v>
      </c>
      <c r="AJ60" s="124">
        <f>AJ59+AK60-MIN(AJ59,ROUND(AJ59*Supuestos!$C$71*Supuestos!$F$13,0))</f>
        <v>288</v>
      </c>
      <c r="AK60" s="124">
        <f>MAX(0,MIN(ROUND(Supuestos!$F$12*(1+AJ$53)*$N60,0),IF(Supuestos!$C$72&gt;0,Supuestos!$C$72-AJ59+MIN(AJ59,ROUND(AJ59*Supuestos!$C$71*Supuestos!$F$13,0)),ROUND(Supuestos!$F$12*(1+AJ$53)*$N60,0))))</f>
        <v>48</v>
      </c>
      <c r="AL60" s="124">
        <f t="shared" si="10"/>
        <v>-4632.8691968000021</v>
      </c>
      <c r="AM60" s="124">
        <f t="shared" si="11"/>
        <v>0</v>
      </c>
      <c r="AN60" s="124">
        <f>AN59+AO60-MIN(AN59,ROUND(AN59*Supuestos!$C$71*Supuestos!$F$13,0))</f>
        <v>288</v>
      </c>
      <c r="AO60" s="124">
        <f>MAX(0,MIN(ROUND(Supuestos!$F$12*(1+AN$53)*$N60,0),IF(Supuestos!$C$72&gt;0,Supuestos!$C$72-AN59+MIN(AN59,ROUND(AN59*Supuestos!$C$71*Supuestos!$F$13,0)),ROUND(Supuestos!$F$12*(1+AN$53)*$N60,0))))</f>
        <v>48</v>
      </c>
      <c r="AP60" s="124">
        <f t="shared" si="12"/>
        <v>-4110.218777600001</v>
      </c>
      <c r="AQ60" s="124">
        <f t="shared" si="13"/>
        <v>0</v>
      </c>
      <c r="AR60" s="124">
        <f>AR59+AS60-MIN(AR59,ROUND(AR59*Supuestos!$C$71*Supuestos!$F$13,0))</f>
        <v>326</v>
      </c>
      <c r="AS60" s="124">
        <f>MAX(0,MIN(ROUND(Supuestos!$F$12*(1+AR$53)*$N60,0),IF(Supuestos!$C$72&gt;0,Supuestos!$C$72-AR59+MIN(AR59,ROUND(AR59*Supuestos!$C$71*Supuestos!$F$13,0)),ROUND(Supuestos!$F$12*(1+AR$53)*$N60,0))))</f>
        <v>54</v>
      </c>
      <c r="AT60" s="124">
        <f t="shared" si="14"/>
        <v>-4738.9737088000002</v>
      </c>
      <c r="AU60" s="124">
        <f t="shared" si="15"/>
        <v>0</v>
      </c>
      <c r="AV60" s="124">
        <f>AV59+AW60-MIN(AV59,ROUND(AV59*Supuestos!$C$71*Supuestos!$F$13,0))</f>
        <v>326</v>
      </c>
      <c r="AW60" s="124">
        <f>MAX(0,MIN(ROUND(Supuestos!$F$12*(1+AV$53)*$N60,0),IF(Supuestos!$C$72&gt;0,Supuestos!$C$72-AV59+MIN(AV59,ROUND(AV59*Supuestos!$C$71*Supuestos!$F$13,0)),ROUND(Supuestos!$F$12*(1+AV$53)*$N60,0))))</f>
        <v>54</v>
      </c>
      <c r="AX60" s="124">
        <f t="shared" si="16"/>
        <v>-4147.3624704000031</v>
      </c>
      <c r="AY60" s="124">
        <f t="shared" si="17"/>
        <v>0</v>
      </c>
      <c r="AZ60" s="124">
        <f>AZ59+BA60-MIN(AZ59,ROUND(AZ59*Supuestos!$C$71*Supuestos!$F$13,0))</f>
        <v>326</v>
      </c>
      <c r="BA60" s="124">
        <f>MAX(0,MIN(ROUND(Supuestos!$F$12*(1+AZ$53)*$N60,0),IF(Supuestos!$C$72&gt;0,Supuestos!$C$72-AZ59+MIN(AZ59,ROUND(AZ59*Supuestos!$C$71*Supuestos!$F$13,0)),ROUND(Supuestos!$F$12*(1+AZ$53)*$N60,0))))</f>
        <v>54</v>
      </c>
      <c r="BB60" s="124">
        <f t="shared" si="18"/>
        <v>-3555.7512320000023</v>
      </c>
      <c r="BC60" s="124">
        <f t="shared" si="19"/>
        <v>0</v>
      </c>
      <c r="BD60" s="124">
        <f>BD59+BE60-MIN(BD59,ROUND(BD59*Supuestos!$C$71*Supuestos!$F$13,0))</f>
        <v>326</v>
      </c>
      <c r="BE60" s="124">
        <f>MAX(0,MIN(ROUND(Supuestos!$F$12*(1+BD$53)*$N60,0),IF(Supuestos!$C$72&gt;0,Supuestos!$C$72-BD59+MIN(BD59,ROUND(BD59*Supuestos!$C$71*Supuestos!$F$13,0)),ROUND(Supuestos!$F$12*(1+BD$53)*$N60,0))))</f>
        <v>54</v>
      </c>
      <c r="BF60" s="124">
        <f t="shared" si="20"/>
        <v>-2964.1399936000016</v>
      </c>
      <c r="BG60" s="124">
        <f t="shared" si="21"/>
        <v>0</v>
      </c>
      <c r="BH60" s="124">
        <f>BH59+BI60-MIN(BH59,ROUND(BH59*Supuestos!$C$71*Supuestos!$F$13,0))</f>
        <v>326</v>
      </c>
      <c r="BI60" s="124">
        <f>MAX(0,MIN(ROUND(Supuestos!$F$12*(1+BH$53)*$N60,0),IF(Supuestos!$C$72&gt;0,Supuestos!$C$72-BH59+MIN(BH59,ROUND(BH59*Supuestos!$C$71*Supuestos!$F$13,0)),ROUND(Supuestos!$F$12*(1+BH$53)*$N60,0))))</f>
        <v>54</v>
      </c>
      <c r="BJ60" s="124">
        <f t="shared" si="22"/>
        <v>-2372.5287552000009</v>
      </c>
      <c r="BK60" s="124">
        <f t="shared" si="23"/>
        <v>0</v>
      </c>
      <c r="BL60" s="124">
        <f>BL59+BM60-MIN(BL59,ROUND(BL59*Supuestos!$C$71*Supuestos!$F$13,0))</f>
        <v>360</v>
      </c>
      <c r="BM60" s="124">
        <f>MAX(0,MIN(ROUND(Supuestos!$F$12*(1+BL$53)*$N60,0),IF(Supuestos!$C$72&gt;0,Supuestos!$C$72-BL59+MIN(BL59,ROUND(BL59*Supuestos!$C$71*Supuestos!$F$13,0)),ROUND(Supuestos!$F$12*(1+BL$53)*$N60,0))))</f>
        <v>60</v>
      </c>
      <c r="BN60" s="124">
        <f t="shared" si="24"/>
        <v>-3418.5255680000009</v>
      </c>
      <c r="BO60" s="124">
        <f t="shared" si="25"/>
        <v>0</v>
      </c>
      <c r="BP60" s="124">
        <f>BP59+BQ60-MIN(BP59,ROUND(BP59*Supuestos!$C$71*Supuestos!$F$13,0))</f>
        <v>360</v>
      </c>
      <c r="BQ60" s="124">
        <f>MAX(0,MIN(ROUND(Supuestos!$F$12*(1+BP$53)*$N60,0),IF(Supuestos!$C$72&gt;0,Supuestos!$C$72-BP59+MIN(BP59,ROUND(BP59*Supuestos!$C$71*Supuestos!$F$13,0)),ROUND(Supuestos!$F$12*(1+BP$53)*$N60,0))))</f>
        <v>60</v>
      </c>
      <c r="BR60" s="124">
        <f t="shared" si="26"/>
        <v>-2765.2125440000018</v>
      </c>
      <c r="BS60" s="124">
        <f t="shared" si="27"/>
        <v>0</v>
      </c>
      <c r="BT60" s="124">
        <f>BT59+BU60-MIN(BT59,ROUND(BT59*Supuestos!$C$71*Supuestos!$F$13,0))</f>
        <v>360</v>
      </c>
      <c r="BU60" s="124">
        <f>MAX(0,MIN(ROUND(Supuestos!$F$12*(1+BT$53)*$N60,0),IF(Supuestos!$C$72&gt;0,Supuestos!$C$72-BT59+MIN(BT59,ROUND(BT59*Supuestos!$C$71*Supuestos!$F$13,0)),ROUND(Supuestos!$F$12*(1+BT$53)*$N60,0))))</f>
        <v>60</v>
      </c>
      <c r="BV60" s="124">
        <f t="shared" si="28"/>
        <v>-2111.8995200000008</v>
      </c>
      <c r="BW60" s="124">
        <f t="shared" si="29"/>
        <v>0</v>
      </c>
      <c r="BX60" s="124">
        <f>BX59+BY60-MIN(BX59,ROUND(BX59*Supuestos!$C$71*Supuestos!$F$13,0))</f>
        <v>360</v>
      </c>
      <c r="BY60" s="124">
        <f>MAX(0,MIN(ROUND(Supuestos!$F$12*(1+BX$53)*$N60,0),IF(Supuestos!$C$72&gt;0,Supuestos!$C$72-BX59+MIN(BX59,ROUND(BX59*Supuestos!$C$71*Supuestos!$F$13,0)),ROUND(Supuestos!$F$12*(1+BX$53)*$N60,0))))</f>
        <v>60</v>
      </c>
      <c r="BZ60" s="124">
        <f t="shared" si="30"/>
        <v>-1458.5864960000017</v>
      </c>
      <c r="CA60" s="124">
        <f t="shared" si="31"/>
        <v>0</v>
      </c>
      <c r="CB60" s="124">
        <f>CB59+CC60-MIN(CB59,ROUND(CB59*Supuestos!$C$71*Supuestos!$F$13,0))</f>
        <v>360</v>
      </c>
      <c r="CC60" s="124">
        <f>MAX(0,MIN(ROUND(Supuestos!$F$12*(1+CB$53)*$N60,0),IF(Supuestos!$C$72&gt;0,Supuestos!$C$72-CB59+MIN(CB59,ROUND(CB59*Supuestos!$C$71*Supuestos!$F$13,0)),ROUND(Supuestos!$F$12*(1+CB$53)*$N60,0))))</f>
        <v>60</v>
      </c>
      <c r="CD60" s="124">
        <f t="shared" si="32"/>
        <v>-805.27347200000077</v>
      </c>
      <c r="CE60" s="124">
        <f t="shared" si="33"/>
        <v>0</v>
      </c>
      <c r="CF60" s="124">
        <f>CF59+CG60-MIN(CF59,ROUND(CF59*Supuestos!$C$71*Supuestos!$F$13,0))</f>
        <v>398</v>
      </c>
      <c r="CG60" s="124">
        <f>MAX(0,MIN(ROUND(Supuestos!$F$12*(1+CF$53)*$N60,0),IF(Supuestos!$C$72&gt;0,Supuestos!$C$72-CF59+MIN(CF59,ROUND(CF59*Supuestos!$C$71*Supuestos!$F$13,0)),ROUND(Supuestos!$F$12*(1+CF$53)*$N60,0))))</f>
        <v>66</v>
      </c>
      <c r="CH60" s="124">
        <f t="shared" si="34"/>
        <v>-1956.6788224000011</v>
      </c>
      <c r="CI60" s="124">
        <f t="shared" si="35"/>
        <v>0</v>
      </c>
      <c r="CJ60" s="124">
        <f>CJ59+CK60-MIN(CJ59,ROUND(CJ59*Supuestos!$C$71*Supuestos!$F$13,0))</f>
        <v>398</v>
      </c>
      <c r="CK60" s="124">
        <f>MAX(0,MIN(ROUND(Supuestos!$F$12*(1+CJ$53)*$N60,0),IF(Supuestos!$C$72&gt;0,Supuestos!$C$72-CJ59+MIN(CJ59,ROUND(CJ59*Supuestos!$C$71*Supuestos!$F$13,0)),ROUND(Supuestos!$F$12*(1+CJ$53)*$N60,0))))</f>
        <v>66</v>
      </c>
      <c r="CL60" s="124">
        <f t="shared" si="36"/>
        <v>-1234.4049792000042</v>
      </c>
      <c r="CM60" s="124">
        <f t="shared" si="37"/>
        <v>0</v>
      </c>
      <c r="CN60" s="124">
        <f>CN59+CO60-MIN(CN59,ROUND(CN59*Supuestos!$C$71*Supuestos!$F$13,0))</f>
        <v>398</v>
      </c>
      <c r="CO60" s="124">
        <f>MAX(0,MIN(ROUND(Supuestos!$F$12*(1+CN$53)*$N60,0),IF(Supuestos!$C$72&gt;0,Supuestos!$C$72-CN59+MIN(CN59,ROUND(CN59*Supuestos!$C$71*Supuestos!$F$13,0)),ROUND(Supuestos!$F$12*(1+CN$53)*$N60,0))))</f>
        <v>66</v>
      </c>
      <c r="CP60" s="124">
        <f t="shared" si="38"/>
        <v>-512.13113600000361</v>
      </c>
      <c r="CQ60" s="124">
        <f t="shared" si="39"/>
        <v>0</v>
      </c>
      <c r="CR60" s="124">
        <f>CR59+CS60-MIN(CR59,ROUND(CR59*Supuestos!$C$71*Supuestos!$F$13,0))</f>
        <v>398</v>
      </c>
      <c r="CS60" s="124">
        <f>MAX(0,MIN(ROUND(Supuestos!$F$12*(1+CR$53)*$N60,0),IF(Supuestos!$C$72&gt;0,Supuestos!$C$72-CR59+MIN(CR59,ROUND(CR59*Supuestos!$C$71*Supuestos!$F$13,0)),ROUND(Supuestos!$F$12*(1+CR$53)*$N60,0))))</f>
        <v>66</v>
      </c>
      <c r="CT60" s="124">
        <f t="shared" si="40"/>
        <v>210.14270720000059</v>
      </c>
      <c r="CU60" s="124">
        <f t="shared" si="41"/>
        <v>1</v>
      </c>
      <c r="CV60" s="124">
        <f>CV59+CW60-MIN(CV59,ROUND(CV59*Supuestos!$C$71*Supuestos!$F$13,0))</f>
        <v>398</v>
      </c>
      <c r="CW60" s="124">
        <f>MAX(0,MIN(ROUND(Supuestos!$F$12*(1+CV$53)*$N60,0),IF(Supuestos!$C$72&gt;0,Supuestos!$C$72-CV59+MIN(CV59,ROUND(CV59*Supuestos!$C$71*Supuestos!$F$13,0)),ROUND(Supuestos!$F$12*(1+CV$53)*$N60,0))))</f>
        <v>66</v>
      </c>
      <c r="CX60" s="124">
        <f t="shared" si="42"/>
        <v>932.41655040000114</v>
      </c>
      <c r="CY60" s="124">
        <f t="shared" si="43"/>
        <v>1</v>
      </c>
      <c r="CZ60" s="124">
        <f>CZ59+DA60-MIN(CZ59,ROUND(CZ59*Supuestos!$C$71*Supuestos!$F$13,0))</f>
        <v>433</v>
      </c>
      <c r="DA60" s="124">
        <f>MAX(0,MIN(ROUND(Supuestos!$F$12*(1+CZ$53)*$N60,0),IF(Supuestos!$C$72&gt;0,Supuestos!$C$72-CZ59+MIN(CZ59,ROUND(CZ59*Supuestos!$C$71*Supuestos!$F$13,0)),ROUND(Supuestos!$F$12*(1+CZ$53)*$N60,0))))</f>
        <v>72</v>
      </c>
      <c r="DB60" s="124">
        <f t="shared" si="44"/>
        <v>-600.88103039999987</v>
      </c>
      <c r="DC60" s="124">
        <f t="shared" si="45"/>
        <v>0</v>
      </c>
      <c r="DD60" s="124">
        <f>DD59+DE60-MIN(DD59,ROUND(DD59*Supuestos!$C$71*Supuestos!$F$13,0))</f>
        <v>433</v>
      </c>
      <c r="DE60" s="124">
        <f>MAX(0,MIN(ROUND(Supuestos!$F$12*(1+DD$53)*$N60,0),IF(Supuestos!$C$72&gt;0,Supuestos!$C$72-DD59+MIN(DD59,ROUND(DD59*Supuestos!$C$71*Supuestos!$F$13,0)),ROUND(Supuestos!$F$12*(1+DD$53)*$N60,0))))</f>
        <v>72</v>
      </c>
      <c r="DF60" s="124">
        <f t="shared" si="46"/>
        <v>184.90935679999529</v>
      </c>
      <c r="DG60" s="124">
        <f t="shared" si="47"/>
        <v>1</v>
      </c>
      <c r="DH60" s="124">
        <f>DH59+DI60-MIN(DH59,ROUND(DH59*Supuestos!$C$71*Supuestos!$F$13,0))</f>
        <v>433</v>
      </c>
      <c r="DI60" s="124">
        <f>MAX(0,MIN(ROUND(Supuestos!$F$12*(1+DH$53)*$N60,0),IF(Supuestos!$C$72&gt;0,Supuestos!$C$72-DH59+MIN(DH59,ROUND(DH59*Supuestos!$C$71*Supuestos!$F$13,0)),ROUND(Supuestos!$F$12*(1+DH$53)*$N60,0))))</f>
        <v>72</v>
      </c>
      <c r="DJ60" s="124">
        <f t="shared" si="48"/>
        <v>970.69974399999774</v>
      </c>
      <c r="DK60" s="124">
        <f t="shared" si="49"/>
        <v>1</v>
      </c>
      <c r="DL60" s="124">
        <f>DL59+DM60-MIN(DL59,ROUND(DL59*Supuestos!$C$71*Supuestos!$F$13,0))</f>
        <v>433</v>
      </c>
      <c r="DM60" s="124">
        <f>MAX(0,MIN(ROUND(Supuestos!$F$12*(1+DL$53)*$N60,0),IF(Supuestos!$C$72&gt;0,Supuestos!$C$72-DL59+MIN(DL59,ROUND(DL59*Supuestos!$C$71*Supuestos!$F$13,0)),ROUND(Supuestos!$F$12*(1+DL$53)*$N60,0))))</f>
        <v>72</v>
      </c>
      <c r="DN60" s="124">
        <f t="shared" si="50"/>
        <v>1756.4901312000002</v>
      </c>
      <c r="DO60" s="124">
        <f t="shared" si="51"/>
        <v>1</v>
      </c>
      <c r="DP60" s="124">
        <f>DP59+DQ60-MIN(DP59,ROUND(DP59*Supuestos!$C$71*Supuestos!$F$13,0))</f>
        <v>433</v>
      </c>
      <c r="DQ60" s="124">
        <f>MAX(0,MIN(ROUND(Supuestos!$F$12*(1+DP$53)*$N60,0),IF(Supuestos!$C$72&gt;0,Supuestos!$C$72-DP59+MIN(DP59,ROUND(DP59*Supuestos!$C$71*Supuestos!$F$13,0)),ROUND(Supuestos!$F$12*(1+DP$53)*$N60,0))))</f>
        <v>72</v>
      </c>
      <c r="DR60" s="124">
        <f t="shared" si="52"/>
        <v>2542.280518399999</v>
      </c>
      <c r="DS60" s="124">
        <f t="shared" si="53"/>
        <v>1</v>
      </c>
    </row>
    <row r="61" spans="2:123" ht="13.5" customHeight="1" x14ac:dyDescent="0.2">
      <c r="B61" s="7" t="str">
        <f>"Mes 6  ·  "&amp;CHOOSE(MONTH(DATE(YEAR(Supuestos!$C$8),MONTH(Supuestos!$C$8)+(6)-1,1)),"ene","feb","mar","abr","may","jun","jul","ago","sep","oct","nov","dic")&amp;" "&amp;YEAR(DATE(YEAR(Supuestos!$C$8),MONTH(Supuestos!$C$8)+(6)-1,1))</f>
        <v>Mes 6  ·  feb 2028</v>
      </c>
      <c r="C61" s="74">
        <f>'Previsión 36 meses'!$H$14</f>
        <v>386</v>
      </c>
      <c r="D61" s="72">
        <f t="shared" si="2"/>
        <v>445</v>
      </c>
      <c r="E61" s="59">
        <f>'Previsión 36 meses'!$H$19</f>
        <v>17103.095999999998</v>
      </c>
      <c r="F61" s="59">
        <f>'Previsión 36 meses'!$H$31+'Previsión 36 meses'!$H$35</f>
        <v>18596.737152000002</v>
      </c>
      <c r="G61" s="59">
        <f>'Previsión 36 meses'!$H$36</f>
        <v>-1493.6411520000022</v>
      </c>
      <c r="H61" s="59">
        <f>'Previsión 36 meses'!$H$42</f>
        <v>-2243.641152000002</v>
      </c>
      <c r="I61" s="76">
        <f>'Previsión 36 meses'!$H$43</f>
        <v>26419.556639999995</v>
      </c>
      <c r="J61" s="59">
        <f t="shared" si="3"/>
        <v>-22880.443360000005</v>
      </c>
      <c r="M61" s="119">
        <v>6</v>
      </c>
      <c r="N61" s="123">
        <f>IF($M61&lt;=12,INDEX(Supuestos!$C$55:$C$66,$M61)+IF($M61=1,Supuestos!$C$52,0),IF($M61&lt;=24,Supuestos!$C$69,Supuestos!$C$70)*IFERROR(INDEX(Supuestos!$C$55:$C$66,MOD($M61-1,12)+1)/AVERAGE(Supuestos!$C$55:$C$66),1))</f>
        <v>40</v>
      </c>
      <c r="O61" s="123">
        <f>Supuestos!$C$45*Supuestos!$F$14*(1+Supuestos!$C$112)^INT(($M61-1)/12)*(1-Supuestos!$C$98)</f>
        <v>36.295167999999997</v>
      </c>
      <c r="P61" s="123">
        <f>(Supuestos!$C$48+Supuestos!$C$49)*(1+Supuestos!$C$112)^INT(($M61-1)/12)*(1-Supuestos!$C$98-Supuestos!$C$99)</f>
        <v>2.6840000000000002</v>
      </c>
      <c r="Q61" s="123">
        <f>Supuestos!$C$47*(1+Supuestos!$C$112)^INT(($M61-1)/12)*(1-Supuestos!$C$98)</f>
        <v>19.759999999999998</v>
      </c>
      <c r="R61" s="120">
        <f>'Previsión 36 meses'!$H$31</f>
        <v>17330</v>
      </c>
      <c r="S61" s="120">
        <f t="shared" si="0"/>
        <v>26419.556639999995</v>
      </c>
      <c r="T61" s="120">
        <f t="shared" si="1"/>
        <v>0</v>
      </c>
      <c r="U61" s="22" t="str">
        <f>CHOOSE(MONTH(DATE(YEAR(Supuestos!$C$8),MONTH(Supuestos!$C$8)+(6)-1,1)),"ene","feb","mar","abr","may","jun","jul","ago","sep","oct","nov","dic")&amp;" "&amp;RIGHT(YEAR(DATE(YEAR(Supuestos!$C$8),MONTH(Supuestos!$C$8)+(6)-1,1)),2)</f>
        <v>feb 28</v>
      </c>
      <c r="V61" s="121">
        <f>IF(AND(Supuestos!$C$33&gt;0,J61&gt;=Supuestos!$C$33),1,0)</f>
        <v>0</v>
      </c>
      <c r="X61" s="124">
        <f>X60+Y61-MIN(X60,ROUND(X60*Supuestos!$C$71*Supuestos!$F$13,0))</f>
        <v>308</v>
      </c>
      <c r="Y61" s="124">
        <f>MAX(0,MIN(ROUND(Supuestos!$F$12*(1+X$53)*$N61,0),IF(Supuestos!$C$72&gt;0,Supuestos!$C$72-X60+MIN(X60,ROUND(X60*Supuestos!$C$71*Supuestos!$F$13,0)),ROUND(Supuestos!$F$12*(1+X$53)*$N61,0))))</f>
        <v>32</v>
      </c>
      <c r="Z61" s="124">
        <f t="shared" si="4"/>
        <v>-5809.9874304000004</v>
      </c>
      <c r="AA61" s="124">
        <f t="shared" si="5"/>
        <v>0</v>
      </c>
      <c r="AB61" s="124">
        <f>AB60+AC61-MIN(AB60,ROUND(AB60*Supuestos!$C$71*Supuestos!$F$13,0))</f>
        <v>308</v>
      </c>
      <c r="AC61" s="124">
        <f>MAX(0,MIN(ROUND(Supuestos!$F$12*(1+AB$53)*$N61,0),IF(Supuestos!$C$72&gt;0,Supuestos!$C$72-AB60+MIN(AB60,ROUND(AB60*Supuestos!$C$71*Supuestos!$F$13,0)),ROUND(Supuestos!$F$12*(1+AB$53)*$N61,0))))</f>
        <v>32</v>
      </c>
      <c r="AD61" s="124">
        <f t="shared" si="6"/>
        <v>-5251.0418432000024</v>
      </c>
      <c r="AE61" s="124">
        <f t="shared" si="7"/>
        <v>0</v>
      </c>
      <c r="AF61" s="124">
        <f>AF60+AG61-MIN(AF60,ROUND(AF60*Supuestos!$C$71*Supuestos!$F$13,0))</f>
        <v>308</v>
      </c>
      <c r="AG61" s="124">
        <f>MAX(0,MIN(ROUND(Supuestos!$F$12*(1+AF$53)*$N61,0),IF(Supuestos!$C$72&gt;0,Supuestos!$C$72-AF60+MIN(AF60,ROUND(AF60*Supuestos!$C$71*Supuestos!$F$13,0)),ROUND(Supuestos!$F$12*(1+AF$53)*$N61,0))))</f>
        <v>32</v>
      </c>
      <c r="AH61" s="124">
        <f t="shared" si="8"/>
        <v>-4692.0962560000025</v>
      </c>
      <c r="AI61" s="124">
        <f t="shared" si="9"/>
        <v>0</v>
      </c>
      <c r="AJ61" s="124">
        <f>AJ60+AK61-MIN(AJ60,ROUND(AJ60*Supuestos!$C$71*Supuestos!$F$13,0))</f>
        <v>308</v>
      </c>
      <c r="AK61" s="124">
        <f>MAX(0,MIN(ROUND(Supuestos!$F$12*(1+AJ$53)*$N61,0),IF(Supuestos!$C$72&gt;0,Supuestos!$C$72-AJ60+MIN(AJ60,ROUND(AJ60*Supuestos!$C$71*Supuestos!$F$13,0)),ROUND(Supuestos!$F$12*(1+AJ$53)*$N61,0))))</f>
        <v>32</v>
      </c>
      <c r="AL61" s="124">
        <f t="shared" si="10"/>
        <v>-4133.1506688000009</v>
      </c>
      <c r="AM61" s="124">
        <f t="shared" si="11"/>
        <v>0</v>
      </c>
      <c r="AN61" s="124">
        <f>AN60+AO61-MIN(AN60,ROUND(AN60*Supuestos!$C$71*Supuestos!$F$13,0))</f>
        <v>308</v>
      </c>
      <c r="AO61" s="124">
        <f>MAX(0,MIN(ROUND(Supuestos!$F$12*(1+AN$53)*$N61,0),IF(Supuestos!$C$72&gt;0,Supuestos!$C$72-AN60+MIN(AN60,ROUND(AN60*Supuestos!$C$71*Supuestos!$F$13,0)),ROUND(Supuestos!$F$12*(1+AN$53)*$N61,0))))</f>
        <v>32</v>
      </c>
      <c r="AP61" s="124">
        <f t="shared" si="12"/>
        <v>-3574.205081600001</v>
      </c>
      <c r="AQ61" s="124">
        <f t="shared" si="13"/>
        <v>0</v>
      </c>
      <c r="AR61" s="124">
        <f>AR60+AS61-MIN(AR60,ROUND(AR60*Supuestos!$C$71*Supuestos!$F$13,0))</f>
        <v>349</v>
      </c>
      <c r="AS61" s="124">
        <f>MAX(0,MIN(ROUND(Supuestos!$F$12*(1+AR$53)*$N61,0),IF(Supuestos!$C$72&gt;0,Supuestos!$C$72-AR60+MIN(AR60,ROUND(AR60*Supuestos!$C$71*Supuestos!$F$13,0)),ROUND(Supuestos!$F$12*(1+AR$53)*$N61,0))))</f>
        <v>36</v>
      </c>
      <c r="AT61" s="124">
        <f t="shared" si="14"/>
        <v>-4281.6117312000006</v>
      </c>
      <c r="AU61" s="124">
        <f t="shared" si="15"/>
        <v>0</v>
      </c>
      <c r="AV61" s="124">
        <f>AV60+AW61-MIN(AV60,ROUND(AV60*Supuestos!$C$71*Supuestos!$F$13,0))</f>
        <v>349</v>
      </c>
      <c r="AW61" s="124">
        <f>MAX(0,MIN(ROUND(Supuestos!$F$12*(1+AV$53)*$N61,0),IF(Supuestos!$C$72&gt;0,Supuestos!$C$72-AV60+MIN(AV60,ROUND(AV60*Supuestos!$C$71*Supuestos!$F$13,0)),ROUND(Supuestos!$F$12*(1+AV$53)*$N61,0))))</f>
        <v>36</v>
      </c>
      <c r="AX61" s="124">
        <f t="shared" si="16"/>
        <v>-3648.2610496000016</v>
      </c>
      <c r="AY61" s="124">
        <f t="shared" si="17"/>
        <v>0</v>
      </c>
      <c r="AZ61" s="124">
        <f>AZ60+BA61-MIN(AZ60,ROUND(AZ60*Supuestos!$C$71*Supuestos!$F$13,0))</f>
        <v>349</v>
      </c>
      <c r="BA61" s="124">
        <f>MAX(0,MIN(ROUND(Supuestos!$F$12*(1+AZ$53)*$N61,0),IF(Supuestos!$C$72&gt;0,Supuestos!$C$72-AZ60+MIN(AZ60,ROUND(AZ60*Supuestos!$C$71*Supuestos!$F$13,0)),ROUND(Supuestos!$F$12*(1+AZ$53)*$N61,0))))</f>
        <v>36</v>
      </c>
      <c r="BB61" s="124">
        <f t="shared" si="18"/>
        <v>-3014.9103680000007</v>
      </c>
      <c r="BC61" s="124">
        <f t="shared" si="19"/>
        <v>0</v>
      </c>
      <c r="BD61" s="124">
        <f>BD60+BE61-MIN(BD60,ROUND(BD60*Supuestos!$C$71*Supuestos!$F$13,0))</f>
        <v>349</v>
      </c>
      <c r="BE61" s="124">
        <f>MAX(0,MIN(ROUND(Supuestos!$F$12*(1+BD$53)*$N61,0),IF(Supuestos!$C$72&gt;0,Supuestos!$C$72-BD60+MIN(BD60,ROUND(BD60*Supuestos!$C$71*Supuestos!$F$13,0)),ROUND(Supuestos!$F$12*(1+BD$53)*$N61,0))))</f>
        <v>36</v>
      </c>
      <c r="BF61" s="124">
        <f t="shared" si="20"/>
        <v>-2381.5596863999999</v>
      </c>
      <c r="BG61" s="124">
        <f t="shared" si="21"/>
        <v>0</v>
      </c>
      <c r="BH61" s="124">
        <f>BH60+BI61-MIN(BH60,ROUND(BH60*Supuestos!$C$71*Supuestos!$F$13,0))</f>
        <v>349</v>
      </c>
      <c r="BI61" s="124">
        <f>MAX(0,MIN(ROUND(Supuestos!$F$12*(1+BH$53)*$N61,0),IF(Supuestos!$C$72&gt;0,Supuestos!$C$72-BH60+MIN(BH60,ROUND(BH60*Supuestos!$C$71*Supuestos!$F$13,0)),ROUND(Supuestos!$F$12*(1+BH$53)*$N61,0))))</f>
        <v>36</v>
      </c>
      <c r="BJ61" s="124">
        <f t="shared" si="22"/>
        <v>-1748.2090047999991</v>
      </c>
      <c r="BK61" s="124">
        <f t="shared" si="23"/>
        <v>0</v>
      </c>
      <c r="BL61" s="124">
        <f>BL60+BM61-MIN(BL60,ROUND(BL60*Supuestos!$C$71*Supuestos!$F$13,0))</f>
        <v>386</v>
      </c>
      <c r="BM61" s="124">
        <f>MAX(0,MIN(ROUND(Supuestos!$F$12*(1+BL$53)*$N61,0),IF(Supuestos!$C$72&gt;0,Supuestos!$C$72-BL60+MIN(BL60,ROUND(BL60*Supuestos!$C$71*Supuestos!$F$13,0)),ROUND(Supuestos!$F$12*(1+BL$53)*$N61,0))))</f>
        <v>40</v>
      </c>
      <c r="BN61" s="124">
        <f t="shared" si="24"/>
        <v>-2894.6346368000013</v>
      </c>
      <c r="BO61" s="124">
        <f t="shared" si="25"/>
        <v>0</v>
      </c>
      <c r="BP61" s="124">
        <f>BP60+BQ61-MIN(BP60,ROUND(BP60*Supuestos!$C$71*Supuestos!$F$13,0))</f>
        <v>386</v>
      </c>
      <c r="BQ61" s="124">
        <f>MAX(0,MIN(ROUND(Supuestos!$F$12*(1+BP$53)*$N61,0),IF(Supuestos!$C$72&gt;0,Supuestos!$C$72-BP60+MIN(BP60,ROUND(BP60*Supuestos!$C$71*Supuestos!$F$13,0)),ROUND(Supuestos!$F$12*(1+BP$53)*$N61,0))))</f>
        <v>40</v>
      </c>
      <c r="BR61" s="124">
        <f t="shared" si="26"/>
        <v>-2194.1378944000044</v>
      </c>
      <c r="BS61" s="124">
        <f t="shared" si="27"/>
        <v>0</v>
      </c>
      <c r="BT61" s="124">
        <f>BT60+BU61-MIN(BT60,ROUND(BT60*Supuestos!$C$71*Supuestos!$F$13,0))</f>
        <v>386</v>
      </c>
      <c r="BU61" s="124">
        <f>MAX(0,MIN(ROUND(Supuestos!$F$12*(1+BT$53)*$N61,0),IF(Supuestos!$C$72&gt;0,Supuestos!$C$72-BT60+MIN(BT60,ROUND(BT60*Supuestos!$C$71*Supuestos!$F$13,0)),ROUND(Supuestos!$F$12*(1+BT$53)*$N61,0))))</f>
        <v>40</v>
      </c>
      <c r="BV61" s="124">
        <f t="shared" si="28"/>
        <v>-1493.641152000002</v>
      </c>
      <c r="BW61" s="124">
        <f t="shared" si="29"/>
        <v>0</v>
      </c>
      <c r="BX61" s="124">
        <f>BX60+BY61-MIN(BX60,ROUND(BX60*Supuestos!$C$71*Supuestos!$F$13,0))</f>
        <v>386</v>
      </c>
      <c r="BY61" s="124">
        <f>MAX(0,MIN(ROUND(Supuestos!$F$12*(1+BX$53)*$N61,0),IF(Supuestos!$C$72&gt;0,Supuestos!$C$72-BX60+MIN(BX60,ROUND(BX60*Supuestos!$C$71*Supuestos!$F$13,0)),ROUND(Supuestos!$F$12*(1+BX$53)*$N61,0))))</f>
        <v>40</v>
      </c>
      <c r="BZ61" s="124">
        <f t="shared" si="30"/>
        <v>-793.14440960000138</v>
      </c>
      <c r="CA61" s="124">
        <f t="shared" si="31"/>
        <v>0</v>
      </c>
      <c r="CB61" s="124">
        <f>CB60+CC61-MIN(CB60,ROUND(CB60*Supuestos!$C$71*Supuestos!$F$13,0))</f>
        <v>386</v>
      </c>
      <c r="CC61" s="124">
        <f>MAX(0,MIN(ROUND(Supuestos!$F$12*(1+CB$53)*$N61,0),IF(Supuestos!$C$72&gt;0,Supuestos!$C$72-CB60+MIN(CB60,ROUND(CB60*Supuestos!$C$71*Supuestos!$F$13,0)),ROUND(Supuestos!$F$12*(1+CB$53)*$N61,0))))</f>
        <v>40</v>
      </c>
      <c r="CD61" s="124">
        <f t="shared" si="32"/>
        <v>-92.647667199998978</v>
      </c>
      <c r="CE61" s="124">
        <f t="shared" si="33"/>
        <v>0</v>
      </c>
      <c r="CF61" s="124">
        <f>CF60+CG61-MIN(CF60,ROUND(CF60*Supuestos!$C$71*Supuestos!$F$13,0))</f>
        <v>426</v>
      </c>
      <c r="CG61" s="124">
        <f>MAX(0,MIN(ROUND(Supuestos!$F$12*(1+CF$53)*$N61,0),IF(Supuestos!$C$72&gt;0,Supuestos!$C$72-CF60+MIN(CF60,ROUND(CF60*Supuestos!$C$71*Supuestos!$F$13,0)),ROUND(Supuestos!$F$12*(1+CF$53)*$N61,0))))</f>
        <v>44</v>
      </c>
      <c r="CH61" s="124">
        <f t="shared" si="34"/>
        <v>-1401.6085888000016</v>
      </c>
      <c r="CI61" s="124">
        <f t="shared" si="35"/>
        <v>0</v>
      </c>
      <c r="CJ61" s="124">
        <f>CJ60+CK61-MIN(CJ60,ROUND(CJ60*Supuestos!$C$71*Supuestos!$F$13,0))</f>
        <v>426</v>
      </c>
      <c r="CK61" s="124">
        <f>MAX(0,MIN(ROUND(Supuestos!$F$12*(1+CJ$53)*$N61,0),IF(Supuestos!$C$72&gt;0,Supuestos!$C$72-CJ60+MIN(CJ60,ROUND(CJ60*Supuestos!$C$71*Supuestos!$F$13,0)),ROUND(Supuestos!$F$12*(1+CJ$53)*$N61,0))))</f>
        <v>44</v>
      </c>
      <c r="CL61" s="124">
        <f t="shared" si="36"/>
        <v>-628.52151040000535</v>
      </c>
      <c r="CM61" s="124">
        <f t="shared" si="37"/>
        <v>0</v>
      </c>
      <c r="CN61" s="124">
        <f>CN60+CO61-MIN(CN60,ROUND(CN60*Supuestos!$C$71*Supuestos!$F$13,0))</f>
        <v>426</v>
      </c>
      <c r="CO61" s="124">
        <f>MAX(0,MIN(ROUND(Supuestos!$F$12*(1+CN$53)*$N61,0),IF(Supuestos!$C$72&gt;0,Supuestos!$C$72-CN60+MIN(CN60,ROUND(CN60*Supuestos!$C$71*Supuestos!$F$13,0)),ROUND(Supuestos!$F$12*(1+CN$53)*$N61,0))))</f>
        <v>44</v>
      </c>
      <c r="CP61" s="124">
        <f t="shared" si="38"/>
        <v>144.56556799999453</v>
      </c>
      <c r="CQ61" s="124">
        <f t="shared" si="39"/>
        <v>1</v>
      </c>
      <c r="CR61" s="124">
        <f>CR60+CS61-MIN(CR60,ROUND(CR60*Supuestos!$C$71*Supuestos!$F$13,0))</f>
        <v>426</v>
      </c>
      <c r="CS61" s="124">
        <f>MAX(0,MIN(ROUND(Supuestos!$F$12*(1+CR$53)*$N61,0),IF(Supuestos!$C$72&gt;0,Supuestos!$C$72-CR60+MIN(CR60,ROUND(CR60*Supuestos!$C$71*Supuestos!$F$13,0)),ROUND(Supuestos!$F$12*(1+CR$53)*$N61,0))))</f>
        <v>44</v>
      </c>
      <c r="CT61" s="124">
        <f t="shared" si="40"/>
        <v>917.65264639999805</v>
      </c>
      <c r="CU61" s="124">
        <f t="shared" si="41"/>
        <v>1</v>
      </c>
      <c r="CV61" s="124">
        <f>CV60+CW61-MIN(CV60,ROUND(CV60*Supuestos!$C$71*Supuestos!$F$13,0))</f>
        <v>426</v>
      </c>
      <c r="CW61" s="124">
        <f>MAX(0,MIN(ROUND(Supuestos!$F$12*(1+CV$53)*$N61,0),IF(Supuestos!$C$72&gt;0,Supuestos!$C$72-CV60+MIN(CV60,ROUND(CV60*Supuestos!$C$71*Supuestos!$F$13,0)),ROUND(Supuestos!$F$12*(1+CV$53)*$N61,0))))</f>
        <v>44</v>
      </c>
      <c r="CX61" s="124">
        <f t="shared" si="42"/>
        <v>1690.7397247999979</v>
      </c>
      <c r="CY61" s="124">
        <f t="shared" si="43"/>
        <v>1</v>
      </c>
      <c r="CZ61" s="124">
        <f>CZ60+DA61-MIN(CZ60,ROUND(CZ60*Supuestos!$C$71*Supuestos!$F$13,0))</f>
        <v>464</v>
      </c>
      <c r="DA61" s="124">
        <f>MAX(0,MIN(ROUND(Supuestos!$F$12*(1+CZ$53)*$N61,0),IF(Supuestos!$C$72&gt;0,Supuestos!$C$72-CZ60+MIN(CZ60,ROUND(CZ60*Supuestos!$C$71*Supuestos!$F$13,0)),ROUND(Supuestos!$F$12*(1+CZ$53)*$N61,0))))</f>
        <v>48</v>
      </c>
      <c r="DB61" s="124">
        <f t="shared" si="44"/>
        <v>20.718156799997814</v>
      </c>
      <c r="DC61" s="124">
        <f t="shared" si="45"/>
        <v>1</v>
      </c>
      <c r="DD61" s="124">
        <f>DD60+DE61-MIN(DD60,ROUND(DD60*Supuestos!$C$71*Supuestos!$F$13,0))</f>
        <v>464</v>
      </c>
      <c r="DE61" s="124">
        <f>MAX(0,MIN(ROUND(Supuestos!$F$12*(1+DD$53)*$N61,0),IF(Supuestos!$C$72&gt;0,Supuestos!$C$72-DD60+MIN(DD60,ROUND(DD60*Supuestos!$C$71*Supuestos!$F$13,0)),ROUND(Supuestos!$F$12*(1+DD$53)*$N61,0))))</f>
        <v>48</v>
      </c>
      <c r="DF61" s="124">
        <f t="shared" si="46"/>
        <v>862.76605439999548</v>
      </c>
      <c r="DG61" s="124">
        <f t="shared" si="47"/>
        <v>1</v>
      </c>
      <c r="DH61" s="124">
        <f>DH60+DI61-MIN(DH60,ROUND(DH60*Supuestos!$C$71*Supuestos!$F$13,0))</f>
        <v>464</v>
      </c>
      <c r="DI61" s="124">
        <f>MAX(0,MIN(ROUND(Supuestos!$F$12*(1+DH$53)*$N61,0),IF(Supuestos!$C$72&gt;0,Supuestos!$C$72-DH60+MIN(DH60,ROUND(DH60*Supuestos!$C$71*Supuestos!$F$13,0)),ROUND(Supuestos!$F$12*(1+DH$53)*$N61,0))))</f>
        <v>48</v>
      </c>
      <c r="DJ61" s="124">
        <f t="shared" si="48"/>
        <v>1704.8139519999968</v>
      </c>
      <c r="DK61" s="124">
        <f t="shared" si="49"/>
        <v>1</v>
      </c>
      <c r="DL61" s="124">
        <f>DL60+DM61-MIN(DL60,ROUND(DL60*Supuestos!$C$71*Supuestos!$F$13,0))</f>
        <v>464</v>
      </c>
      <c r="DM61" s="124">
        <f>MAX(0,MIN(ROUND(Supuestos!$F$12*(1+DL$53)*$N61,0),IF(Supuestos!$C$72&gt;0,Supuestos!$C$72-DL60+MIN(DL60,ROUND(DL60*Supuestos!$C$71*Supuestos!$F$13,0)),ROUND(Supuestos!$F$12*(1+DL$53)*$N61,0))))</f>
        <v>48</v>
      </c>
      <c r="DN61" s="124">
        <f t="shared" si="50"/>
        <v>2546.8618495999981</v>
      </c>
      <c r="DO61" s="124">
        <f t="shared" si="51"/>
        <v>1</v>
      </c>
      <c r="DP61" s="124">
        <f>DP60+DQ61-MIN(DP60,ROUND(DP60*Supuestos!$C$71*Supuestos!$F$13,0))</f>
        <v>464</v>
      </c>
      <c r="DQ61" s="124">
        <f>MAX(0,MIN(ROUND(Supuestos!$F$12*(1+DP$53)*$N61,0),IF(Supuestos!$C$72&gt;0,Supuestos!$C$72-DP60+MIN(DP60,ROUND(DP60*Supuestos!$C$71*Supuestos!$F$13,0)),ROUND(Supuestos!$F$12*(1+DP$53)*$N61,0))))</f>
        <v>48</v>
      </c>
      <c r="DR61" s="124">
        <f t="shared" si="52"/>
        <v>3388.9097471999994</v>
      </c>
      <c r="DS61" s="124">
        <f t="shared" si="53"/>
        <v>1</v>
      </c>
    </row>
    <row r="62" spans="2:123" ht="13.5" customHeight="1" x14ac:dyDescent="0.2">
      <c r="B62" s="7" t="str">
        <f>"Mes 7  ·  "&amp;CHOOSE(MONTH(DATE(YEAR(Supuestos!$C$8),MONTH(Supuestos!$C$8)+(7)-1,1)),"ene","feb","mar","abr","may","jun","jul","ago","sep","oct","nov","dic")&amp;" "&amp;YEAR(DATE(YEAR(Supuestos!$C$8),MONTH(Supuestos!$C$8)+(7)-1,1))</f>
        <v>Mes 7  ·  mar 2028</v>
      </c>
      <c r="C62" s="74">
        <f>'Previsión 36 meses'!$I$14</f>
        <v>406</v>
      </c>
      <c r="D62" s="72">
        <f t="shared" si="2"/>
        <v>445</v>
      </c>
      <c r="E62" s="59">
        <f>'Previsión 36 meses'!$I$19</f>
        <v>17847.815999999999</v>
      </c>
      <c r="F62" s="59">
        <f>'Previsión 36 meses'!$I$31+'Previsión 36 meses'!$I$35</f>
        <v>18660.673792000001</v>
      </c>
      <c r="G62" s="59">
        <f>'Previsión 36 meses'!$I$36</f>
        <v>-812.85779200000115</v>
      </c>
      <c r="H62" s="59">
        <f>'Previsión 36 meses'!$I$42</f>
        <v>-3139.9915661042314</v>
      </c>
      <c r="I62" s="76">
        <f>'Previsión 36 meses'!$I$43</f>
        <v>23279.565073895763</v>
      </c>
      <c r="J62" s="59">
        <f t="shared" si="3"/>
        <v>-23693.301152000007</v>
      </c>
      <c r="M62" s="119">
        <v>7</v>
      </c>
      <c r="N62" s="123">
        <f>IF($M62&lt;=12,INDEX(Supuestos!$C$55:$C$66,$M62)+IF($M62=1,Supuestos!$C$52,0),IF($M62&lt;=24,Supuestos!$C$69,Supuestos!$C$70)*IFERROR(INDEX(Supuestos!$C$55:$C$66,MOD($M62-1,12)+1)/AVERAGE(Supuestos!$C$55:$C$66),1))</f>
        <v>35</v>
      </c>
      <c r="O62" s="123">
        <f>Supuestos!$C$45*Supuestos!$F$14*(1+Supuestos!$C$112)^INT(($M62-1)/12)*(1-Supuestos!$C$98)</f>
        <v>36.295167999999997</v>
      </c>
      <c r="P62" s="123">
        <f>(Supuestos!$C$48+Supuestos!$C$49)*(1+Supuestos!$C$112)^INT(($M62-1)/12)*(1-Supuestos!$C$98-Supuestos!$C$99)</f>
        <v>2.6840000000000002</v>
      </c>
      <c r="Q62" s="123">
        <f>Supuestos!$C$47*(1+Supuestos!$C$112)^INT(($M62-1)/12)*(1-Supuestos!$C$98)</f>
        <v>19.759999999999998</v>
      </c>
      <c r="R62" s="120">
        <f>'Previsión 36 meses'!$I$31</f>
        <v>17330</v>
      </c>
      <c r="S62" s="120">
        <f t="shared" si="0"/>
        <v>23279.565073895763</v>
      </c>
      <c r="T62" s="120">
        <f t="shared" si="1"/>
        <v>0</v>
      </c>
      <c r="U62" s="22" t="str">
        <f>CHOOSE(MONTH(DATE(YEAR(Supuestos!$C$8),MONTH(Supuestos!$C$8)+(7)-1,1)),"ene","feb","mar","abr","may","jun","jul","ago","sep","oct","nov","dic")&amp;" "&amp;RIGHT(YEAR(DATE(YEAR(Supuestos!$C$8),MONTH(Supuestos!$C$8)+(7)-1,1)),2)</f>
        <v>mar 28</v>
      </c>
      <c r="V62" s="121">
        <f>IF(AND(Supuestos!$C$33&gt;0,J62&gt;=Supuestos!$C$33),1,0)</f>
        <v>0</v>
      </c>
      <c r="X62" s="124">
        <f>X61+Y62-MIN(X61,ROUND(X61*Supuestos!$C$71*Supuestos!$F$13,0))</f>
        <v>324</v>
      </c>
      <c r="Y62" s="124">
        <f>MAX(0,MIN(ROUND(Supuestos!$F$12*(1+X$53)*$N62,0),IF(Supuestos!$C$72&gt;0,Supuestos!$C$72-X61+MIN(X61,ROUND(X61*Supuestos!$C$71*Supuestos!$F$13,0)),ROUND(Supuestos!$F$12*(1+X$53)*$N62,0))))</f>
        <v>28</v>
      </c>
      <c r="Z62" s="124">
        <f t="shared" si="4"/>
        <v>-5323.4330112000007</v>
      </c>
      <c r="AA62" s="124">
        <f t="shared" si="5"/>
        <v>0</v>
      </c>
      <c r="AB62" s="124">
        <f>AB61+AC62-MIN(AB61,ROUND(AB61*Supuestos!$C$71*Supuestos!$F$13,0))</f>
        <v>324</v>
      </c>
      <c r="AC62" s="124">
        <f>MAX(0,MIN(ROUND(Supuestos!$F$12*(1+AB$53)*$N62,0),IF(Supuestos!$C$72&gt;0,Supuestos!$C$72-AB61+MIN(AB61,ROUND(AB61*Supuestos!$C$71*Supuestos!$F$13,0)),ROUND(Supuestos!$F$12*(1+AB$53)*$N62,0))))</f>
        <v>28</v>
      </c>
      <c r="AD62" s="124">
        <f t="shared" si="6"/>
        <v>-4735.4512896000015</v>
      </c>
      <c r="AE62" s="124">
        <f t="shared" si="7"/>
        <v>0</v>
      </c>
      <c r="AF62" s="124">
        <f>AF61+AG62-MIN(AF61,ROUND(AF61*Supuestos!$C$71*Supuestos!$F$13,0))</f>
        <v>324</v>
      </c>
      <c r="AG62" s="124">
        <f>MAX(0,MIN(ROUND(Supuestos!$F$12*(1+AF$53)*$N62,0),IF(Supuestos!$C$72&gt;0,Supuestos!$C$72-AF61+MIN(AF61,ROUND(AF61*Supuestos!$C$71*Supuestos!$F$13,0)),ROUND(Supuestos!$F$12*(1+AF$53)*$N62,0))))</f>
        <v>28</v>
      </c>
      <c r="AH62" s="124">
        <f t="shared" si="8"/>
        <v>-4147.4695680000004</v>
      </c>
      <c r="AI62" s="124">
        <f t="shared" si="9"/>
        <v>0</v>
      </c>
      <c r="AJ62" s="124">
        <f>AJ61+AK62-MIN(AJ61,ROUND(AJ61*Supuestos!$C$71*Supuestos!$F$13,0))</f>
        <v>324</v>
      </c>
      <c r="AK62" s="124">
        <f>MAX(0,MIN(ROUND(Supuestos!$F$12*(1+AJ$53)*$N62,0),IF(Supuestos!$C$72&gt;0,Supuestos!$C$72-AJ61+MIN(AJ61,ROUND(AJ61*Supuestos!$C$71*Supuestos!$F$13,0)),ROUND(Supuestos!$F$12*(1+AJ$53)*$N62,0))))</f>
        <v>28</v>
      </c>
      <c r="AL62" s="124">
        <f t="shared" si="10"/>
        <v>-3559.4878464000012</v>
      </c>
      <c r="AM62" s="124">
        <f t="shared" si="11"/>
        <v>0</v>
      </c>
      <c r="AN62" s="124">
        <f>AN61+AO62-MIN(AN61,ROUND(AN61*Supuestos!$C$71*Supuestos!$F$13,0))</f>
        <v>324</v>
      </c>
      <c r="AO62" s="124">
        <f>MAX(0,MIN(ROUND(Supuestos!$F$12*(1+AN$53)*$N62,0),IF(Supuestos!$C$72&gt;0,Supuestos!$C$72-AN61+MIN(AN61,ROUND(AN61*Supuestos!$C$71*Supuestos!$F$13,0)),ROUND(Supuestos!$F$12*(1+AN$53)*$N62,0))))</f>
        <v>28</v>
      </c>
      <c r="AP62" s="124">
        <f t="shared" si="12"/>
        <v>-2971.5061248000002</v>
      </c>
      <c r="AQ62" s="124">
        <f t="shared" si="13"/>
        <v>0</v>
      </c>
      <c r="AR62" s="124">
        <f>AR61+AS62-MIN(AR61,ROUND(AR61*Supuestos!$C$71*Supuestos!$F$13,0))</f>
        <v>367</v>
      </c>
      <c r="AS62" s="124">
        <f>MAX(0,MIN(ROUND(Supuestos!$F$12*(1+AR$53)*$N62,0),IF(Supuestos!$C$72&gt;0,Supuestos!$C$72-AR61+MIN(AR61,ROUND(AR61*Supuestos!$C$71*Supuestos!$F$13,0)),ROUND(Supuestos!$F$12*(1+AR$53)*$N62,0))))</f>
        <v>32</v>
      </c>
      <c r="AT62" s="124">
        <f t="shared" si="14"/>
        <v>-3724.3580096000023</v>
      </c>
      <c r="AU62" s="124">
        <f t="shared" si="15"/>
        <v>0</v>
      </c>
      <c r="AV62" s="124">
        <f>AV61+AW62-MIN(AV61,ROUND(AV61*Supuestos!$C$71*Supuestos!$F$13,0))</f>
        <v>367</v>
      </c>
      <c r="AW62" s="124">
        <f>MAX(0,MIN(ROUND(Supuestos!$F$12*(1+AV$53)*$N62,0),IF(Supuestos!$C$72&gt;0,Supuestos!$C$72-AV61+MIN(AV61,ROUND(AV61*Supuestos!$C$71*Supuestos!$F$13,0)),ROUND(Supuestos!$F$12*(1+AV$53)*$N62,0))))</f>
        <v>32</v>
      </c>
      <c r="AX62" s="124">
        <f t="shared" si="16"/>
        <v>-3058.3416768000025</v>
      </c>
      <c r="AY62" s="124">
        <f t="shared" si="17"/>
        <v>0</v>
      </c>
      <c r="AZ62" s="124">
        <f>AZ61+BA62-MIN(AZ61,ROUND(AZ61*Supuestos!$C$71*Supuestos!$F$13,0))</f>
        <v>367</v>
      </c>
      <c r="BA62" s="124">
        <f>MAX(0,MIN(ROUND(Supuestos!$F$12*(1+AZ$53)*$N62,0),IF(Supuestos!$C$72&gt;0,Supuestos!$C$72-AZ61+MIN(AZ61,ROUND(AZ61*Supuestos!$C$71*Supuestos!$F$13,0)),ROUND(Supuestos!$F$12*(1+AZ$53)*$N62,0))))</f>
        <v>32</v>
      </c>
      <c r="BB62" s="124">
        <f t="shared" si="18"/>
        <v>-2392.3253440000026</v>
      </c>
      <c r="BC62" s="124">
        <f t="shared" si="19"/>
        <v>0</v>
      </c>
      <c r="BD62" s="124">
        <f>BD61+BE62-MIN(BD61,ROUND(BD61*Supuestos!$C$71*Supuestos!$F$13,0))</f>
        <v>367</v>
      </c>
      <c r="BE62" s="124">
        <f>MAX(0,MIN(ROUND(Supuestos!$F$12*(1+BD$53)*$N62,0),IF(Supuestos!$C$72&gt;0,Supuestos!$C$72-BD61+MIN(BD61,ROUND(BD61*Supuestos!$C$71*Supuestos!$F$13,0)),ROUND(Supuestos!$F$12*(1+BD$53)*$N62,0))))</f>
        <v>32</v>
      </c>
      <c r="BF62" s="124">
        <f t="shared" si="20"/>
        <v>-1726.3090112000009</v>
      </c>
      <c r="BG62" s="124">
        <f t="shared" si="21"/>
        <v>0</v>
      </c>
      <c r="BH62" s="124">
        <f>BH61+BI62-MIN(BH61,ROUND(BH61*Supuestos!$C$71*Supuestos!$F$13,0))</f>
        <v>367</v>
      </c>
      <c r="BI62" s="124">
        <f>MAX(0,MIN(ROUND(Supuestos!$F$12*(1+BH$53)*$N62,0),IF(Supuestos!$C$72&gt;0,Supuestos!$C$72-BH61+MIN(BH61,ROUND(BH61*Supuestos!$C$71*Supuestos!$F$13,0)),ROUND(Supuestos!$F$12*(1+BH$53)*$N62,0))))</f>
        <v>32</v>
      </c>
      <c r="BJ62" s="124">
        <f t="shared" si="22"/>
        <v>-1060.292678400001</v>
      </c>
      <c r="BK62" s="124">
        <f t="shared" si="23"/>
        <v>0</v>
      </c>
      <c r="BL62" s="124">
        <f>BL61+BM62-MIN(BL61,ROUND(BL61*Supuestos!$C$71*Supuestos!$F$13,0))</f>
        <v>406</v>
      </c>
      <c r="BM62" s="124">
        <f>MAX(0,MIN(ROUND(Supuestos!$F$12*(1+BL$53)*$N62,0),IF(Supuestos!$C$72&gt;0,Supuestos!$C$72-BL61+MIN(BL61,ROUND(BL61*Supuestos!$C$71*Supuestos!$F$13,0)),ROUND(Supuestos!$F$12*(1+BL$53)*$N62,0))))</f>
        <v>35</v>
      </c>
      <c r="BN62" s="124">
        <f t="shared" si="24"/>
        <v>-2286.4416128000012</v>
      </c>
      <c r="BO62" s="124">
        <f t="shared" si="25"/>
        <v>0</v>
      </c>
      <c r="BP62" s="124">
        <f>BP61+BQ62-MIN(BP61,ROUND(BP61*Supuestos!$C$71*Supuestos!$F$13,0))</f>
        <v>406</v>
      </c>
      <c r="BQ62" s="124">
        <f>MAX(0,MIN(ROUND(Supuestos!$F$12*(1+BP$53)*$N62,0),IF(Supuestos!$C$72&gt;0,Supuestos!$C$72-BP61+MIN(BP61,ROUND(BP61*Supuestos!$C$71*Supuestos!$F$13,0)),ROUND(Supuestos!$F$12*(1+BP$53)*$N62,0))))</f>
        <v>35</v>
      </c>
      <c r="BR62" s="124">
        <f t="shared" si="26"/>
        <v>-1549.6497024000037</v>
      </c>
      <c r="BS62" s="124">
        <f t="shared" si="27"/>
        <v>0</v>
      </c>
      <c r="BT62" s="124">
        <f>BT61+BU62-MIN(BT61,ROUND(BT61*Supuestos!$C$71*Supuestos!$F$13,0))</f>
        <v>406</v>
      </c>
      <c r="BU62" s="124">
        <f>MAX(0,MIN(ROUND(Supuestos!$F$12*(1+BT$53)*$N62,0),IF(Supuestos!$C$72&gt;0,Supuestos!$C$72-BT61+MIN(BT61,ROUND(BT61*Supuestos!$C$71*Supuestos!$F$13,0)),ROUND(Supuestos!$F$12*(1+BT$53)*$N62,0))))</f>
        <v>35</v>
      </c>
      <c r="BV62" s="124">
        <f t="shared" si="28"/>
        <v>-812.85779200000252</v>
      </c>
      <c r="BW62" s="124">
        <f t="shared" si="29"/>
        <v>0</v>
      </c>
      <c r="BX62" s="124">
        <f>BX61+BY62-MIN(BX61,ROUND(BX61*Supuestos!$C$71*Supuestos!$F$13,0))</f>
        <v>406</v>
      </c>
      <c r="BY62" s="124">
        <f>MAX(0,MIN(ROUND(Supuestos!$F$12*(1+BX$53)*$N62,0),IF(Supuestos!$C$72&gt;0,Supuestos!$C$72-BX61+MIN(BX61,ROUND(BX61*Supuestos!$C$71*Supuestos!$F$13,0)),ROUND(Supuestos!$F$12*(1+BX$53)*$N62,0))))</f>
        <v>35</v>
      </c>
      <c r="BZ62" s="124">
        <f t="shared" si="30"/>
        <v>-76.065881600003195</v>
      </c>
      <c r="CA62" s="124">
        <f t="shared" si="31"/>
        <v>0</v>
      </c>
      <c r="CB62" s="124">
        <f>CB61+CC62-MIN(CB61,ROUND(CB61*Supuestos!$C$71*Supuestos!$F$13,0))</f>
        <v>406</v>
      </c>
      <c r="CC62" s="124">
        <f>MAX(0,MIN(ROUND(Supuestos!$F$12*(1+CB$53)*$N62,0),IF(Supuestos!$C$72&gt;0,Supuestos!$C$72-CB61+MIN(CB61,ROUND(CB61*Supuestos!$C$71*Supuestos!$F$13,0)),ROUND(Supuestos!$F$12*(1+CB$53)*$N62,0))))</f>
        <v>35</v>
      </c>
      <c r="CD62" s="124">
        <f t="shared" si="32"/>
        <v>660.72602879999977</v>
      </c>
      <c r="CE62" s="124">
        <f t="shared" si="33"/>
        <v>1</v>
      </c>
      <c r="CF62" s="124">
        <f>CF61+CG62-MIN(CF61,ROUND(CF61*Supuestos!$C$71*Supuestos!$F$13,0))</f>
        <v>448</v>
      </c>
      <c r="CG62" s="124">
        <f>MAX(0,MIN(ROUND(Supuestos!$F$12*(1+CF$53)*$N62,0),IF(Supuestos!$C$72&gt;0,Supuestos!$C$72-CF61+MIN(CF61,ROUND(CF61*Supuestos!$C$71*Supuestos!$F$13,0)),ROUND(Supuestos!$F$12*(1+CF$53)*$N62,0))))</f>
        <v>39</v>
      </c>
      <c r="CH62" s="124">
        <f t="shared" si="34"/>
        <v>-722.71626240000114</v>
      </c>
      <c r="CI62" s="124">
        <f t="shared" si="35"/>
        <v>0</v>
      </c>
      <c r="CJ62" s="124">
        <f>CJ61+CK62-MIN(CJ61,ROUND(CJ61*Supuestos!$C$71*Supuestos!$F$13,0))</f>
        <v>448</v>
      </c>
      <c r="CK62" s="124">
        <f>MAX(0,MIN(ROUND(Supuestos!$F$12*(1+CJ$53)*$N62,0),IF(Supuestos!$C$72&gt;0,Supuestos!$C$72-CJ61+MIN(CJ61,ROUND(CJ61*Supuestos!$C$71*Supuestos!$F$13,0)),ROUND(Supuestos!$F$12*(1+CJ$53)*$N62,0))))</f>
        <v>39</v>
      </c>
      <c r="CL62" s="124">
        <f t="shared" si="36"/>
        <v>90.295500799995352</v>
      </c>
      <c r="CM62" s="124">
        <f t="shared" si="37"/>
        <v>1</v>
      </c>
      <c r="CN62" s="124">
        <f>CN61+CO62-MIN(CN61,ROUND(CN61*Supuestos!$C$71*Supuestos!$F$13,0))</f>
        <v>448</v>
      </c>
      <c r="CO62" s="124">
        <f>MAX(0,MIN(ROUND(Supuestos!$F$12*(1+CN$53)*$N62,0),IF(Supuestos!$C$72&gt;0,Supuestos!$C$72-CN61+MIN(CN61,ROUND(CN61*Supuestos!$C$71*Supuestos!$F$13,0)),ROUND(Supuestos!$F$12*(1+CN$53)*$N62,0))))</f>
        <v>39</v>
      </c>
      <c r="CP62" s="124">
        <f t="shared" si="38"/>
        <v>903.30726399999548</v>
      </c>
      <c r="CQ62" s="124">
        <f t="shared" si="39"/>
        <v>1</v>
      </c>
      <c r="CR62" s="124">
        <f>CR61+CS62-MIN(CR61,ROUND(CR61*Supuestos!$C$71*Supuestos!$F$13,0))</f>
        <v>448</v>
      </c>
      <c r="CS62" s="124">
        <f>MAX(0,MIN(ROUND(Supuestos!$F$12*(1+CR$53)*$N62,0),IF(Supuestos!$C$72&gt;0,Supuestos!$C$72-CR61+MIN(CR61,ROUND(CR61*Supuestos!$C$71*Supuestos!$F$13,0)),ROUND(Supuestos!$F$12*(1+CR$53)*$N62,0))))</f>
        <v>39</v>
      </c>
      <c r="CT62" s="124">
        <f t="shared" si="40"/>
        <v>1716.3190271999993</v>
      </c>
      <c r="CU62" s="124">
        <f t="shared" si="41"/>
        <v>1</v>
      </c>
      <c r="CV62" s="124">
        <f>CV61+CW62-MIN(CV61,ROUND(CV61*Supuestos!$C$71*Supuestos!$F$13,0))</f>
        <v>448</v>
      </c>
      <c r="CW62" s="124">
        <f>MAX(0,MIN(ROUND(Supuestos!$F$12*(1+CV$53)*$N62,0),IF(Supuestos!$C$72&gt;0,Supuestos!$C$72-CV61+MIN(CV61,ROUND(CV61*Supuestos!$C$71*Supuestos!$F$13,0)),ROUND(Supuestos!$F$12*(1+CV$53)*$N62,0))))</f>
        <v>39</v>
      </c>
      <c r="CX62" s="124">
        <f t="shared" si="42"/>
        <v>2529.3307903999994</v>
      </c>
      <c r="CY62" s="124">
        <f t="shared" si="43"/>
        <v>1</v>
      </c>
      <c r="CZ62" s="124">
        <f>CZ61+DA62-MIN(CZ61,ROUND(CZ61*Supuestos!$C$71*Supuestos!$F$13,0))</f>
        <v>487</v>
      </c>
      <c r="DA62" s="124">
        <f>MAX(0,MIN(ROUND(Supuestos!$F$12*(1+CZ$53)*$N62,0),IF(Supuestos!$C$72&gt;0,Supuestos!$C$72-CZ61+MIN(CZ61,ROUND(CZ61*Supuestos!$C$71*Supuestos!$F$13,0)),ROUND(Supuestos!$F$12*(1+CZ$53)*$N62,0))))</f>
        <v>42</v>
      </c>
      <c r="DB62" s="124">
        <f t="shared" si="44"/>
        <v>715.20013439999821</v>
      </c>
      <c r="DC62" s="124">
        <f t="shared" si="45"/>
        <v>1</v>
      </c>
      <c r="DD62" s="124">
        <f>DD61+DE62-MIN(DD61,ROUND(DD61*Supuestos!$C$71*Supuestos!$F$13,0))</f>
        <v>487</v>
      </c>
      <c r="DE62" s="124">
        <f>MAX(0,MIN(ROUND(Supuestos!$F$12*(1+DD$53)*$N62,0),IF(Supuestos!$C$72&gt;0,Supuestos!$C$72-DD61+MIN(DD61,ROUND(DD61*Supuestos!$C$71*Supuestos!$F$13,0)),ROUND(Supuestos!$F$12*(1+DD$53)*$N62,0))))</f>
        <v>42</v>
      </c>
      <c r="DF62" s="124">
        <f t="shared" si="46"/>
        <v>1598.987475199996</v>
      </c>
      <c r="DG62" s="124">
        <f t="shared" si="47"/>
        <v>1</v>
      </c>
      <c r="DH62" s="124">
        <f>DH61+DI62-MIN(DH61,ROUND(DH61*Supuestos!$C$71*Supuestos!$F$13,0))</f>
        <v>487</v>
      </c>
      <c r="DI62" s="124">
        <f>MAX(0,MIN(ROUND(Supuestos!$F$12*(1+DH$53)*$N62,0),IF(Supuestos!$C$72&gt;0,Supuestos!$C$72-DH61+MIN(DH61,ROUND(DH61*Supuestos!$C$71*Supuestos!$F$13,0)),ROUND(Supuestos!$F$12*(1+DH$53)*$N62,0))))</f>
        <v>42</v>
      </c>
      <c r="DJ62" s="124">
        <f t="shared" si="48"/>
        <v>2482.7748159999937</v>
      </c>
      <c r="DK62" s="124">
        <f t="shared" si="49"/>
        <v>1</v>
      </c>
      <c r="DL62" s="124">
        <f>DL61+DM62-MIN(DL61,ROUND(DL61*Supuestos!$C$71*Supuestos!$F$13,0))</f>
        <v>487</v>
      </c>
      <c r="DM62" s="124">
        <f>MAX(0,MIN(ROUND(Supuestos!$F$12*(1+DL$53)*$N62,0),IF(Supuestos!$C$72&gt;0,Supuestos!$C$72-DL61+MIN(DL61,ROUND(DL61*Supuestos!$C$71*Supuestos!$F$13,0)),ROUND(Supuestos!$F$12*(1+DL$53)*$N62,0))))</f>
        <v>42</v>
      </c>
      <c r="DN62" s="124">
        <f t="shared" si="50"/>
        <v>3366.5621567999951</v>
      </c>
      <c r="DO62" s="124">
        <f t="shared" si="51"/>
        <v>1</v>
      </c>
      <c r="DP62" s="124">
        <f>DP61+DQ62-MIN(DP61,ROUND(DP61*Supuestos!$C$71*Supuestos!$F$13,0))</f>
        <v>487</v>
      </c>
      <c r="DQ62" s="124">
        <f>MAX(0,MIN(ROUND(Supuestos!$F$12*(1+DP$53)*$N62,0),IF(Supuestos!$C$72&gt;0,Supuestos!$C$72-DP61+MIN(DP61,ROUND(DP61*Supuestos!$C$71*Supuestos!$F$13,0)),ROUND(Supuestos!$F$12*(1+DP$53)*$N62,0))))</f>
        <v>42</v>
      </c>
      <c r="DR62" s="124">
        <f t="shared" si="52"/>
        <v>4250.3494975999965</v>
      </c>
      <c r="DS62" s="124">
        <f t="shared" si="53"/>
        <v>1</v>
      </c>
    </row>
    <row r="63" spans="2:123" ht="13.5" customHeight="1" x14ac:dyDescent="0.2">
      <c r="B63" s="7" t="str">
        <f>"Mes 8  ·  "&amp;CHOOSE(MONTH(DATE(YEAR(Supuestos!$C$8),MONTH(Supuestos!$C$8)+(8)-1,1)),"ene","feb","mar","abr","may","jun","jul","ago","sep","oct","nov","dic")&amp;" "&amp;YEAR(DATE(YEAR(Supuestos!$C$8),MONTH(Supuestos!$C$8)+(8)-1,1))</f>
        <v>Mes 8  ·  abr 2028</v>
      </c>
      <c r="C63" s="74">
        <f>'Previsión 36 meses'!$J$14</f>
        <v>420</v>
      </c>
      <c r="D63" s="72">
        <f t="shared" si="2"/>
        <v>445</v>
      </c>
      <c r="E63" s="59">
        <f>'Previsión 36 meses'!$J$19</f>
        <v>18339.12</v>
      </c>
      <c r="F63" s="59">
        <f>'Previsión 36 meses'!$J$31+'Previsión 36 meses'!$J$35</f>
        <v>18705.069439999999</v>
      </c>
      <c r="G63" s="59">
        <f>'Previsión 36 meses'!$J$36</f>
        <v>-365.949440000001</v>
      </c>
      <c r="H63" s="59">
        <f>'Previsión 36 meses'!$J$42</f>
        <v>-2693.083214104231</v>
      </c>
      <c r="I63" s="76">
        <f>'Previsión 36 meses'!$J$43</f>
        <v>20586.481859791533</v>
      </c>
      <c r="J63" s="59">
        <f t="shared" si="3"/>
        <v>-24059.250592000008</v>
      </c>
      <c r="M63" s="119">
        <v>8</v>
      </c>
      <c r="N63" s="123">
        <f>IF($M63&lt;=12,INDEX(Supuestos!$C$55:$C$66,$M63)+IF($M63=1,Supuestos!$C$52,0),IF($M63&lt;=24,Supuestos!$C$69,Supuestos!$C$70)*IFERROR(INDEX(Supuestos!$C$55:$C$66,MOD($M63-1,12)+1)/AVERAGE(Supuestos!$C$55:$C$66),1))</f>
        <v>30</v>
      </c>
      <c r="O63" s="123">
        <f>Supuestos!$C$45*Supuestos!$F$14*(1+Supuestos!$C$112)^INT(($M63-1)/12)*(1-Supuestos!$C$98)</f>
        <v>36.295167999999997</v>
      </c>
      <c r="P63" s="123">
        <f>(Supuestos!$C$48+Supuestos!$C$49)*(1+Supuestos!$C$112)^INT(($M63-1)/12)*(1-Supuestos!$C$98-Supuestos!$C$99)</f>
        <v>2.6840000000000002</v>
      </c>
      <c r="Q63" s="123">
        <f>Supuestos!$C$47*(1+Supuestos!$C$112)^INT(($M63-1)/12)*(1-Supuestos!$C$98)</f>
        <v>19.759999999999998</v>
      </c>
      <c r="R63" s="120">
        <f>'Previsión 36 meses'!$J$31</f>
        <v>17330</v>
      </c>
      <c r="S63" s="120">
        <f t="shared" si="0"/>
        <v>20586.481859791533</v>
      </c>
      <c r="T63" s="120">
        <f t="shared" si="1"/>
        <v>0</v>
      </c>
      <c r="U63" s="22" t="str">
        <f>CHOOSE(MONTH(DATE(YEAR(Supuestos!$C$8),MONTH(Supuestos!$C$8)+(8)-1,1)),"ene","feb","mar","abr","may","jun","jul","ago","sep","oct","nov","dic")&amp;" "&amp;RIGHT(YEAR(DATE(YEAR(Supuestos!$C$8),MONTH(Supuestos!$C$8)+(8)-1,1)),2)</f>
        <v>abr 28</v>
      </c>
      <c r="V63" s="121">
        <f>IF(AND(Supuestos!$C$33&gt;0,J63&gt;=Supuestos!$C$33),1,0)</f>
        <v>0</v>
      </c>
      <c r="X63" s="124">
        <f>X62+Y63-MIN(X62,ROUND(X62*Supuestos!$C$71*Supuestos!$F$13,0))</f>
        <v>335</v>
      </c>
      <c r="Y63" s="124">
        <f>MAX(0,MIN(ROUND(Supuestos!$F$12*(1+X$53)*$N63,0),IF(Supuestos!$C$72&gt;0,Supuestos!$C$72-X62+MIN(X62,ROUND(X62*Supuestos!$C$71*Supuestos!$F$13,0)),ROUND(Supuestos!$F$12*(1+X$53)*$N63,0))))</f>
        <v>24</v>
      </c>
      <c r="Z63" s="124">
        <f t="shared" si="4"/>
        <v>-5013.6268480000017</v>
      </c>
      <c r="AA63" s="124">
        <f t="shared" si="5"/>
        <v>0</v>
      </c>
      <c r="AB63" s="124">
        <f>AB62+AC63-MIN(AB62,ROUND(AB62*Supuestos!$C$71*Supuestos!$F$13,0))</f>
        <v>335</v>
      </c>
      <c r="AC63" s="124">
        <f>MAX(0,MIN(ROUND(Supuestos!$F$12*(1+AB$53)*$N63,0),IF(Supuestos!$C$72&gt;0,Supuestos!$C$72-AB62+MIN(AB62,ROUND(AB62*Supuestos!$C$71*Supuestos!$F$13,0)),ROUND(Supuestos!$F$12*(1+AB$53)*$N63,0))))</f>
        <v>24</v>
      </c>
      <c r="AD63" s="124">
        <f t="shared" si="6"/>
        <v>-4405.6827840000024</v>
      </c>
      <c r="AE63" s="124">
        <f t="shared" si="7"/>
        <v>0</v>
      </c>
      <c r="AF63" s="124">
        <f>AF62+AG63-MIN(AF62,ROUND(AF62*Supuestos!$C$71*Supuestos!$F$13,0))</f>
        <v>335</v>
      </c>
      <c r="AG63" s="124">
        <f>MAX(0,MIN(ROUND(Supuestos!$F$12*(1+AF$53)*$N63,0),IF(Supuestos!$C$72&gt;0,Supuestos!$C$72-AF62+MIN(AF62,ROUND(AF62*Supuestos!$C$71*Supuestos!$F$13,0)),ROUND(Supuestos!$F$12*(1+AF$53)*$N63,0))))</f>
        <v>24</v>
      </c>
      <c r="AH63" s="124">
        <f t="shared" si="8"/>
        <v>-3797.738720000003</v>
      </c>
      <c r="AI63" s="124">
        <f t="shared" si="9"/>
        <v>0</v>
      </c>
      <c r="AJ63" s="124">
        <f>AJ62+AK63-MIN(AJ62,ROUND(AJ62*Supuestos!$C$71*Supuestos!$F$13,0))</f>
        <v>335</v>
      </c>
      <c r="AK63" s="124">
        <f>MAX(0,MIN(ROUND(Supuestos!$F$12*(1+AJ$53)*$N63,0),IF(Supuestos!$C$72&gt;0,Supuestos!$C$72-AJ62+MIN(AJ62,ROUND(AJ62*Supuestos!$C$71*Supuestos!$F$13,0)),ROUND(Supuestos!$F$12*(1+AJ$53)*$N63,0))))</f>
        <v>24</v>
      </c>
      <c r="AL63" s="124">
        <f t="shared" si="10"/>
        <v>-3189.7946560000019</v>
      </c>
      <c r="AM63" s="124">
        <f t="shared" si="11"/>
        <v>0</v>
      </c>
      <c r="AN63" s="124">
        <f>AN62+AO63-MIN(AN62,ROUND(AN62*Supuestos!$C$71*Supuestos!$F$13,0))</f>
        <v>335</v>
      </c>
      <c r="AO63" s="124">
        <f>MAX(0,MIN(ROUND(Supuestos!$F$12*(1+AN$53)*$N63,0),IF(Supuestos!$C$72&gt;0,Supuestos!$C$72-AN62+MIN(AN62,ROUND(AN62*Supuestos!$C$71*Supuestos!$F$13,0)),ROUND(Supuestos!$F$12*(1+AN$53)*$N63,0))))</f>
        <v>24</v>
      </c>
      <c r="AP63" s="124">
        <f t="shared" si="12"/>
        <v>-2581.8505920000007</v>
      </c>
      <c r="AQ63" s="124">
        <f t="shared" si="13"/>
        <v>0</v>
      </c>
      <c r="AR63" s="124">
        <f>AR62+AS63-MIN(AR62,ROUND(AR62*Supuestos!$C$71*Supuestos!$F$13,0))</f>
        <v>379</v>
      </c>
      <c r="AS63" s="124">
        <f>MAX(0,MIN(ROUND(Supuestos!$F$12*(1+AR$53)*$N63,0),IF(Supuestos!$C$72&gt;0,Supuestos!$C$72-AR62+MIN(AR62,ROUND(AR62*Supuestos!$C$71*Supuestos!$F$13,0)),ROUND(Supuestos!$F$12*(1+AR$53)*$N63,0))))</f>
        <v>27</v>
      </c>
      <c r="AT63" s="124">
        <f t="shared" si="14"/>
        <v>-3398.9621952000016</v>
      </c>
      <c r="AU63" s="124">
        <f t="shared" si="15"/>
        <v>0</v>
      </c>
      <c r="AV63" s="124">
        <f>AV62+AW63-MIN(AV62,ROUND(AV62*Supuestos!$C$71*Supuestos!$F$13,0))</f>
        <v>379</v>
      </c>
      <c r="AW63" s="124">
        <f>MAX(0,MIN(ROUND(Supuestos!$F$12*(1+AV$53)*$N63,0),IF(Supuestos!$C$72&gt;0,Supuestos!$C$72-AV62+MIN(AV62,ROUND(AV62*Supuestos!$C$71*Supuestos!$F$13,0)),ROUND(Supuestos!$F$12*(1+AV$53)*$N63,0))))</f>
        <v>27</v>
      </c>
      <c r="AX63" s="124">
        <f t="shared" si="16"/>
        <v>-2711.1687616000017</v>
      </c>
      <c r="AY63" s="124">
        <f t="shared" si="17"/>
        <v>0</v>
      </c>
      <c r="AZ63" s="124">
        <f>AZ62+BA63-MIN(AZ62,ROUND(AZ62*Supuestos!$C$71*Supuestos!$F$13,0))</f>
        <v>379</v>
      </c>
      <c r="BA63" s="124">
        <f>MAX(0,MIN(ROUND(Supuestos!$F$12*(1+AZ$53)*$N63,0),IF(Supuestos!$C$72&gt;0,Supuestos!$C$72-AZ62+MIN(AZ62,ROUND(AZ62*Supuestos!$C$71*Supuestos!$F$13,0)),ROUND(Supuestos!$F$12*(1+AZ$53)*$N63,0))))</f>
        <v>27</v>
      </c>
      <c r="BB63" s="124">
        <f t="shared" si="18"/>
        <v>-2023.3753280000019</v>
      </c>
      <c r="BC63" s="124">
        <f t="shared" si="19"/>
        <v>0</v>
      </c>
      <c r="BD63" s="124">
        <f>BD62+BE63-MIN(BD62,ROUND(BD62*Supuestos!$C$71*Supuestos!$F$13,0))</f>
        <v>379</v>
      </c>
      <c r="BE63" s="124">
        <f>MAX(0,MIN(ROUND(Supuestos!$F$12*(1+BD$53)*$N63,0),IF(Supuestos!$C$72&gt;0,Supuestos!$C$72-BD62+MIN(BD62,ROUND(BD62*Supuestos!$C$71*Supuestos!$F$13,0)),ROUND(Supuestos!$F$12*(1+BD$53)*$N63,0))))</f>
        <v>27</v>
      </c>
      <c r="BF63" s="124">
        <f t="shared" si="20"/>
        <v>-1335.5818944000002</v>
      </c>
      <c r="BG63" s="124">
        <f t="shared" si="21"/>
        <v>0</v>
      </c>
      <c r="BH63" s="124">
        <f>BH62+BI63-MIN(BH62,ROUND(BH62*Supuestos!$C$71*Supuestos!$F$13,0))</f>
        <v>379</v>
      </c>
      <c r="BI63" s="124">
        <f>MAX(0,MIN(ROUND(Supuestos!$F$12*(1+BH$53)*$N63,0),IF(Supuestos!$C$72&gt;0,Supuestos!$C$72-BH62+MIN(BH62,ROUND(BH62*Supuestos!$C$71*Supuestos!$F$13,0)),ROUND(Supuestos!$F$12*(1+BH$53)*$N63,0))))</f>
        <v>27</v>
      </c>
      <c r="BJ63" s="124">
        <f t="shared" si="22"/>
        <v>-647.78846080000221</v>
      </c>
      <c r="BK63" s="124">
        <f t="shared" si="23"/>
        <v>0</v>
      </c>
      <c r="BL63" s="124">
        <f>BL62+BM63-MIN(BL62,ROUND(BL62*Supuestos!$C$71*Supuestos!$F$13,0))</f>
        <v>420</v>
      </c>
      <c r="BM63" s="124">
        <f>MAX(0,MIN(ROUND(Supuestos!$F$12*(1+BL$53)*$N63,0),IF(Supuestos!$C$72&gt;0,Supuestos!$C$72-BL62+MIN(BL62,ROUND(BL62*Supuestos!$C$71*Supuestos!$F$13,0)),ROUND(Supuestos!$F$12*(1+BL$53)*$N63,0))))</f>
        <v>30</v>
      </c>
      <c r="BN63" s="124">
        <f t="shared" si="24"/>
        <v>-1890.3464960000019</v>
      </c>
      <c r="BO63" s="124">
        <f t="shared" si="25"/>
        <v>0</v>
      </c>
      <c r="BP63" s="124">
        <f>BP62+BQ63-MIN(BP62,ROUND(BP62*Supuestos!$C$71*Supuestos!$F$13,0))</f>
        <v>420</v>
      </c>
      <c r="BQ63" s="124">
        <f>MAX(0,MIN(ROUND(Supuestos!$F$12*(1+BP$53)*$N63,0),IF(Supuestos!$C$72&gt;0,Supuestos!$C$72-BP62+MIN(BP62,ROUND(BP62*Supuestos!$C$71*Supuestos!$F$13,0)),ROUND(Supuestos!$F$12*(1+BP$53)*$N63,0))))</f>
        <v>30</v>
      </c>
      <c r="BR63" s="124">
        <f t="shared" si="26"/>
        <v>-1128.1479680000048</v>
      </c>
      <c r="BS63" s="124">
        <f t="shared" si="27"/>
        <v>0</v>
      </c>
      <c r="BT63" s="124">
        <f>BT62+BU63-MIN(BT62,ROUND(BT62*Supuestos!$C$71*Supuestos!$F$13,0))</f>
        <v>420</v>
      </c>
      <c r="BU63" s="124">
        <f>MAX(0,MIN(ROUND(Supuestos!$F$12*(1+BT$53)*$N63,0),IF(Supuestos!$C$72&gt;0,Supuestos!$C$72-BT62+MIN(BT62,ROUND(BT62*Supuestos!$C$71*Supuestos!$F$13,0)),ROUND(Supuestos!$F$12*(1+BT$53)*$N63,0))))</f>
        <v>30</v>
      </c>
      <c r="BV63" s="124">
        <f t="shared" si="28"/>
        <v>-365.94944000000396</v>
      </c>
      <c r="BW63" s="124">
        <f t="shared" si="29"/>
        <v>0</v>
      </c>
      <c r="BX63" s="124">
        <f>BX62+BY63-MIN(BX62,ROUND(BX62*Supuestos!$C$71*Supuestos!$F$13,0))</f>
        <v>420</v>
      </c>
      <c r="BY63" s="124">
        <f>MAX(0,MIN(ROUND(Supuestos!$F$12*(1+BX$53)*$N63,0),IF(Supuestos!$C$72&gt;0,Supuestos!$C$72-BX62+MIN(BX62,ROUND(BX62*Supuestos!$C$71*Supuestos!$F$13,0)),ROUND(Supuestos!$F$12*(1+BX$53)*$N63,0))))</f>
        <v>30</v>
      </c>
      <c r="BZ63" s="124">
        <f t="shared" si="30"/>
        <v>396.24908799999685</v>
      </c>
      <c r="CA63" s="124">
        <f t="shared" si="31"/>
        <v>1</v>
      </c>
      <c r="CB63" s="124">
        <f>CB62+CC63-MIN(CB62,ROUND(CB62*Supuestos!$C$71*Supuestos!$F$13,0))</f>
        <v>420</v>
      </c>
      <c r="CC63" s="124">
        <f>MAX(0,MIN(ROUND(Supuestos!$F$12*(1+CB$53)*$N63,0),IF(Supuestos!$C$72&gt;0,Supuestos!$C$72-CB62+MIN(CB62,ROUND(CB62*Supuestos!$C$71*Supuestos!$F$13,0)),ROUND(Supuestos!$F$12*(1+CB$53)*$N63,0))))</f>
        <v>30</v>
      </c>
      <c r="CD63" s="124">
        <f t="shared" si="32"/>
        <v>1158.4476159999977</v>
      </c>
      <c r="CE63" s="124">
        <f t="shared" si="33"/>
        <v>1</v>
      </c>
      <c r="CF63" s="124">
        <f>CF62+CG63-MIN(CF62,ROUND(CF62*Supuestos!$C$71*Supuestos!$F$13,0))</f>
        <v>463</v>
      </c>
      <c r="CG63" s="124">
        <f>MAX(0,MIN(ROUND(Supuestos!$F$12*(1+CF$53)*$N63,0),IF(Supuestos!$C$72&gt;0,Supuestos!$C$72-CF62+MIN(CF62,ROUND(CF62*Supuestos!$C$71*Supuestos!$F$13,0)),ROUND(Supuestos!$F$12*(1+CF$53)*$N63,0))))</f>
        <v>33</v>
      </c>
      <c r="CH63" s="124">
        <f t="shared" si="34"/>
        <v>-311.03149440000198</v>
      </c>
      <c r="CI63" s="124">
        <f t="shared" si="35"/>
        <v>0</v>
      </c>
      <c r="CJ63" s="124">
        <f>CJ62+CK63-MIN(CJ62,ROUND(CJ62*Supuestos!$C$71*Supuestos!$F$13,0))</f>
        <v>463</v>
      </c>
      <c r="CK63" s="124">
        <f>MAX(0,MIN(ROUND(Supuestos!$F$12*(1+CJ$53)*$N63,0),IF(Supuestos!$C$72&gt;0,Supuestos!$C$72-CJ62+MIN(CJ62,ROUND(CJ62*Supuestos!$C$71*Supuestos!$F$13,0)),ROUND(Supuestos!$F$12*(1+CJ$53)*$N63,0))))</f>
        <v>33</v>
      </c>
      <c r="CL63" s="124">
        <f t="shared" si="36"/>
        <v>529.20164479999949</v>
      </c>
      <c r="CM63" s="124">
        <f t="shared" si="37"/>
        <v>1</v>
      </c>
      <c r="CN63" s="124">
        <f>CN62+CO63-MIN(CN62,ROUND(CN62*Supuestos!$C$71*Supuestos!$F$13,0))</f>
        <v>463</v>
      </c>
      <c r="CO63" s="124">
        <f>MAX(0,MIN(ROUND(Supuestos!$F$12*(1+CN$53)*$N63,0),IF(Supuestos!$C$72&gt;0,Supuestos!$C$72-CN62+MIN(CN62,ROUND(CN62*Supuestos!$C$71*Supuestos!$F$13,0)),ROUND(Supuestos!$F$12*(1+CN$53)*$N63,0))))</f>
        <v>33</v>
      </c>
      <c r="CP63" s="124">
        <f t="shared" si="38"/>
        <v>1369.4347839999973</v>
      </c>
      <c r="CQ63" s="124">
        <f t="shared" si="39"/>
        <v>1</v>
      </c>
      <c r="CR63" s="124">
        <f>CR62+CS63-MIN(CR62,ROUND(CR62*Supuestos!$C$71*Supuestos!$F$13,0))</f>
        <v>463</v>
      </c>
      <c r="CS63" s="124">
        <f>MAX(0,MIN(ROUND(Supuestos!$F$12*(1+CR$53)*$N63,0),IF(Supuestos!$C$72&gt;0,Supuestos!$C$72-CR62+MIN(CR62,ROUND(CR62*Supuestos!$C$71*Supuestos!$F$13,0)),ROUND(Supuestos!$F$12*(1+CR$53)*$N63,0))))</f>
        <v>33</v>
      </c>
      <c r="CT63" s="124">
        <f t="shared" si="40"/>
        <v>2209.6679231999951</v>
      </c>
      <c r="CU63" s="124">
        <f t="shared" si="41"/>
        <v>1</v>
      </c>
      <c r="CV63" s="124">
        <f>CV62+CW63-MIN(CV62,ROUND(CV62*Supuestos!$C$71*Supuestos!$F$13,0))</f>
        <v>463</v>
      </c>
      <c r="CW63" s="124">
        <f>MAX(0,MIN(ROUND(Supuestos!$F$12*(1+CV$53)*$N63,0),IF(Supuestos!$C$72&gt;0,Supuestos!$C$72-CV62+MIN(CV62,ROUND(CV62*Supuestos!$C$71*Supuestos!$F$13,0)),ROUND(Supuestos!$F$12*(1+CV$53)*$N63,0))))</f>
        <v>33</v>
      </c>
      <c r="CX63" s="124">
        <f t="shared" si="42"/>
        <v>3049.9010624000002</v>
      </c>
      <c r="CY63" s="124">
        <f t="shared" si="43"/>
        <v>1</v>
      </c>
      <c r="CZ63" s="124">
        <f>CZ62+DA63-MIN(CZ62,ROUND(CZ62*Supuestos!$C$71*Supuestos!$F$13,0))</f>
        <v>504</v>
      </c>
      <c r="DA63" s="124">
        <f>MAX(0,MIN(ROUND(Supuestos!$F$12*(1+CZ$53)*$N63,0),IF(Supuestos!$C$72&gt;0,Supuestos!$C$72-CZ62+MIN(CZ62,ROUND(CZ62*Supuestos!$C$71*Supuestos!$F$13,0)),ROUND(Supuestos!$F$12*(1+CZ$53)*$N63,0))))</f>
        <v>36</v>
      </c>
      <c r="DB63" s="124">
        <f t="shared" si="44"/>
        <v>1197.5842047999977</v>
      </c>
      <c r="DC63" s="124">
        <f t="shared" si="45"/>
        <v>1</v>
      </c>
      <c r="DD63" s="124">
        <f>DD62+DE63-MIN(DD62,ROUND(DD62*Supuestos!$C$71*Supuestos!$F$13,0))</f>
        <v>504</v>
      </c>
      <c r="DE63" s="124">
        <f>MAX(0,MIN(ROUND(Supuestos!$F$12*(1+DD$53)*$N63,0),IF(Supuestos!$C$72&gt;0,Supuestos!$C$72-DD62+MIN(DD62,ROUND(DD62*Supuestos!$C$71*Supuestos!$F$13,0)),ROUND(Supuestos!$F$12*(1+DD$53)*$N63,0))))</f>
        <v>36</v>
      </c>
      <c r="DF63" s="124">
        <f t="shared" si="46"/>
        <v>2112.2224383999965</v>
      </c>
      <c r="DG63" s="124">
        <f t="shared" si="47"/>
        <v>1</v>
      </c>
      <c r="DH63" s="124">
        <f>DH62+DI63-MIN(DH62,ROUND(DH62*Supuestos!$C$71*Supuestos!$F$13,0))</f>
        <v>504</v>
      </c>
      <c r="DI63" s="124">
        <f>MAX(0,MIN(ROUND(Supuestos!$F$12*(1+DH$53)*$N63,0),IF(Supuestos!$C$72&gt;0,Supuestos!$C$72-DH62+MIN(DH62,ROUND(DH62*Supuestos!$C$71*Supuestos!$F$13,0)),ROUND(Supuestos!$F$12*(1+DH$53)*$N63,0))))</f>
        <v>36</v>
      </c>
      <c r="DJ63" s="124">
        <f t="shared" si="48"/>
        <v>3026.8606719999989</v>
      </c>
      <c r="DK63" s="124">
        <f t="shared" si="49"/>
        <v>1</v>
      </c>
      <c r="DL63" s="124">
        <f>DL62+DM63-MIN(DL62,ROUND(DL62*Supuestos!$C$71*Supuestos!$F$13,0))</f>
        <v>504</v>
      </c>
      <c r="DM63" s="124">
        <f>MAX(0,MIN(ROUND(Supuestos!$F$12*(1+DL$53)*$N63,0),IF(Supuestos!$C$72&gt;0,Supuestos!$C$72-DL62+MIN(DL62,ROUND(DL62*Supuestos!$C$71*Supuestos!$F$13,0)),ROUND(Supuestos!$F$12*(1+DL$53)*$N63,0))))</f>
        <v>36</v>
      </c>
      <c r="DN63" s="124">
        <f t="shared" si="50"/>
        <v>3941.4989055999977</v>
      </c>
      <c r="DO63" s="124">
        <f t="shared" si="51"/>
        <v>1</v>
      </c>
      <c r="DP63" s="124">
        <f>DP62+DQ63-MIN(DP62,ROUND(DP62*Supuestos!$C$71*Supuestos!$F$13,0))</f>
        <v>504</v>
      </c>
      <c r="DQ63" s="124">
        <f>MAX(0,MIN(ROUND(Supuestos!$F$12*(1+DP$53)*$N63,0),IF(Supuestos!$C$72&gt;0,Supuestos!$C$72-DP62+MIN(DP62,ROUND(DP62*Supuestos!$C$71*Supuestos!$F$13,0)),ROUND(Supuestos!$F$12*(1+DP$53)*$N63,0))))</f>
        <v>36</v>
      </c>
      <c r="DR63" s="124">
        <f t="shared" si="52"/>
        <v>4856.1371392000001</v>
      </c>
      <c r="DS63" s="124">
        <f t="shared" si="53"/>
        <v>1</v>
      </c>
    </row>
    <row r="64" spans="2:123" ht="13.5" customHeight="1" x14ac:dyDescent="0.2">
      <c r="B64" s="7" t="str">
        <f>"Mes 9  ·  "&amp;CHOOSE(MONTH(DATE(YEAR(Supuestos!$C$8),MONTH(Supuestos!$C$8)+(9)-1,1)),"ene","feb","mar","abr","may","jun","jul","ago","sep","oct","nov","dic")&amp;" "&amp;YEAR(DATE(YEAR(Supuestos!$C$8),MONTH(Supuestos!$C$8)+(9)-1,1))</f>
        <v>Mes 9  ·  may 2028</v>
      </c>
      <c r="C64" s="74">
        <f>'Previsión 36 meses'!$K$14</f>
        <v>433</v>
      </c>
      <c r="D64" s="72">
        <f t="shared" si="2"/>
        <v>445</v>
      </c>
      <c r="E64" s="59">
        <f>'Previsión 36 meses'!$K$19</f>
        <v>18888.187999999998</v>
      </c>
      <c r="F64" s="59">
        <f>'Previsión 36 meses'!$K$31+'Previsión 36 meses'!$K$35</f>
        <v>18747.408255999999</v>
      </c>
      <c r="G64" s="59">
        <f>'Previsión 36 meses'!$K$36</f>
        <v>140.77974399999835</v>
      </c>
      <c r="H64" s="59">
        <f>'Previsión 36 meses'!$K$42</f>
        <v>-2186.3540301042322</v>
      </c>
      <c r="I64" s="76">
        <f>'Previsión 36 meses'!$K$43</f>
        <v>18400.127829687299</v>
      </c>
      <c r="J64" s="59">
        <f t="shared" si="3"/>
        <v>-23918.470848000008</v>
      </c>
      <c r="M64" s="119">
        <v>9</v>
      </c>
      <c r="N64" s="123">
        <f>IF($M64&lt;=12,INDEX(Supuestos!$C$55:$C$66,$M64)+IF($M64=1,Supuestos!$C$52,0),IF($M64&lt;=24,Supuestos!$C$69,Supuestos!$C$70)*IFERROR(INDEX(Supuestos!$C$55:$C$66,MOD($M64-1,12)+1)/AVERAGE(Supuestos!$C$55:$C$66),1))</f>
        <v>30</v>
      </c>
      <c r="O64" s="123">
        <f>Supuestos!$C$45*Supuestos!$F$14*(1+Supuestos!$C$112)^INT(($M64-1)/12)*(1-Supuestos!$C$98)</f>
        <v>36.295167999999997</v>
      </c>
      <c r="P64" s="123">
        <f>(Supuestos!$C$48+Supuestos!$C$49)*(1+Supuestos!$C$112)^INT(($M64-1)/12)*(1-Supuestos!$C$98-Supuestos!$C$99)</f>
        <v>2.6840000000000002</v>
      </c>
      <c r="Q64" s="123">
        <f>Supuestos!$C$47*(1+Supuestos!$C$112)^INT(($M64-1)/12)*(1-Supuestos!$C$98)</f>
        <v>19.759999999999998</v>
      </c>
      <c r="R64" s="120">
        <f>'Previsión 36 meses'!$K$31</f>
        <v>17330</v>
      </c>
      <c r="S64" s="120">
        <f t="shared" si="0"/>
        <v>18400.127829687299</v>
      </c>
      <c r="T64" s="120">
        <f t="shared" si="1"/>
        <v>0</v>
      </c>
      <c r="U64" s="22" t="str">
        <f>CHOOSE(MONTH(DATE(YEAR(Supuestos!$C$8),MONTH(Supuestos!$C$8)+(9)-1,1)),"ene","feb","mar","abr","may","jun","jul","ago","sep","oct","nov","dic")&amp;" "&amp;RIGHT(YEAR(DATE(YEAR(Supuestos!$C$8),MONTH(Supuestos!$C$8)+(9)-1,1)),2)</f>
        <v>may 28</v>
      </c>
      <c r="V64" s="121">
        <f>IF(AND(Supuestos!$C$33&gt;0,J64&gt;=Supuestos!$C$33),1,0)</f>
        <v>0</v>
      </c>
      <c r="X64" s="124">
        <f>X63+Y64-MIN(X63,ROUND(X63*Supuestos!$C$71*Supuestos!$F$13,0))</f>
        <v>346</v>
      </c>
      <c r="Y64" s="124">
        <f>MAX(0,MIN(ROUND(Supuestos!$F$12*(1+X$53)*$N64,0),IF(Supuestos!$C$72&gt;0,Supuestos!$C$72-X63+MIN(X63,ROUND(X63*Supuestos!$C$71*Supuestos!$F$13,0)),ROUND(Supuestos!$F$12*(1+X$53)*$N64,0))))</f>
        <v>24</v>
      </c>
      <c r="Z64" s="124">
        <f t="shared" si="4"/>
        <v>-4624.7806848000018</v>
      </c>
      <c r="AA64" s="124">
        <f t="shared" si="5"/>
        <v>0</v>
      </c>
      <c r="AB64" s="124">
        <f>AB63+AC64-MIN(AB63,ROUND(AB63*Supuestos!$C$71*Supuestos!$F$13,0))</f>
        <v>346</v>
      </c>
      <c r="AC64" s="124">
        <f>MAX(0,MIN(ROUND(Supuestos!$F$12*(1+AB$53)*$N64,0),IF(Supuestos!$C$72&gt;0,Supuestos!$C$72-AB63+MIN(AB63,ROUND(AB63*Supuestos!$C$71*Supuestos!$F$13,0)),ROUND(Supuestos!$F$12*(1+AB$53)*$N64,0))))</f>
        <v>24</v>
      </c>
      <c r="AD64" s="124">
        <f t="shared" si="6"/>
        <v>-3996.8742784000024</v>
      </c>
      <c r="AE64" s="124">
        <f t="shared" si="7"/>
        <v>0</v>
      </c>
      <c r="AF64" s="124">
        <f>AF63+AG64-MIN(AF63,ROUND(AF63*Supuestos!$C$71*Supuestos!$F$13,0))</f>
        <v>346</v>
      </c>
      <c r="AG64" s="124">
        <f>MAX(0,MIN(ROUND(Supuestos!$F$12*(1+AF$53)*$N64,0),IF(Supuestos!$C$72&gt;0,Supuestos!$C$72-AF63+MIN(AF63,ROUND(AF63*Supuestos!$C$71*Supuestos!$F$13,0)),ROUND(Supuestos!$F$12*(1+AF$53)*$N64,0))))</f>
        <v>24</v>
      </c>
      <c r="AH64" s="124">
        <f t="shared" si="8"/>
        <v>-3368.9678720000029</v>
      </c>
      <c r="AI64" s="124">
        <f t="shared" si="9"/>
        <v>0</v>
      </c>
      <c r="AJ64" s="124">
        <f>AJ63+AK64-MIN(AJ63,ROUND(AJ63*Supuestos!$C$71*Supuestos!$F$13,0))</f>
        <v>346</v>
      </c>
      <c r="AK64" s="124">
        <f>MAX(0,MIN(ROUND(Supuestos!$F$12*(1+AJ$53)*$N64,0),IF(Supuestos!$C$72&gt;0,Supuestos!$C$72-AJ63+MIN(AJ63,ROUND(AJ63*Supuestos!$C$71*Supuestos!$F$13,0)),ROUND(Supuestos!$F$12*(1+AJ$53)*$N64,0))))</f>
        <v>24</v>
      </c>
      <c r="AL64" s="124">
        <f t="shared" si="10"/>
        <v>-2741.0614656000016</v>
      </c>
      <c r="AM64" s="124">
        <f t="shared" si="11"/>
        <v>0</v>
      </c>
      <c r="AN64" s="124">
        <f>AN63+AO64-MIN(AN63,ROUND(AN63*Supuestos!$C$71*Supuestos!$F$13,0))</f>
        <v>346</v>
      </c>
      <c r="AO64" s="124">
        <f>MAX(0,MIN(ROUND(Supuestos!$F$12*(1+AN$53)*$N64,0),IF(Supuestos!$C$72&gt;0,Supuestos!$C$72-AN63+MIN(AN63,ROUND(AN63*Supuestos!$C$71*Supuestos!$F$13,0)),ROUND(Supuestos!$F$12*(1+AN$53)*$N64,0))))</f>
        <v>24</v>
      </c>
      <c r="AP64" s="124">
        <f t="shared" si="12"/>
        <v>-2113.1550592000003</v>
      </c>
      <c r="AQ64" s="124">
        <f t="shared" si="13"/>
        <v>0</v>
      </c>
      <c r="AR64" s="124">
        <f>AR63+AS64-MIN(AR63,ROUND(AR63*Supuestos!$C$71*Supuestos!$F$13,0))</f>
        <v>391</v>
      </c>
      <c r="AS64" s="124">
        <f>MAX(0,MIN(ROUND(Supuestos!$F$12*(1+AR$53)*$N64,0),IF(Supuestos!$C$72&gt;0,Supuestos!$C$72-AR63+MIN(AR63,ROUND(AR63*Supuestos!$C$71*Supuestos!$F$13,0)),ROUND(Supuestos!$F$12*(1+AR$53)*$N64,0))))</f>
        <v>27</v>
      </c>
      <c r="AT64" s="124">
        <f t="shared" si="14"/>
        <v>-2974.7663808000016</v>
      </c>
      <c r="AU64" s="124">
        <f t="shared" si="15"/>
        <v>0</v>
      </c>
      <c r="AV64" s="124">
        <f>AV63+AW64-MIN(AV63,ROUND(AV63*Supuestos!$C$71*Supuestos!$F$13,0))</f>
        <v>391</v>
      </c>
      <c r="AW64" s="124">
        <f>MAX(0,MIN(ROUND(Supuestos!$F$12*(1+AV$53)*$N64,0),IF(Supuestos!$C$72&gt;0,Supuestos!$C$72-AV63+MIN(AV63,ROUND(AV63*Supuestos!$C$71*Supuestos!$F$13,0)),ROUND(Supuestos!$F$12*(1+AV$53)*$N64,0))))</f>
        <v>27</v>
      </c>
      <c r="AX64" s="124">
        <f t="shared" si="16"/>
        <v>-2265.1958464000036</v>
      </c>
      <c r="AY64" s="124">
        <f t="shared" si="17"/>
        <v>0</v>
      </c>
      <c r="AZ64" s="124">
        <f>AZ63+BA64-MIN(AZ63,ROUND(AZ63*Supuestos!$C$71*Supuestos!$F$13,0))</f>
        <v>391</v>
      </c>
      <c r="BA64" s="124">
        <f>MAX(0,MIN(ROUND(Supuestos!$F$12*(1+AZ$53)*$N64,0),IF(Supuestos!$C$72&gt;0,Supuestos!$C$72-AZ63+MIN(AZ63,ROUND(AZ63*Supuestos!$C$71*Supuestos!$F$13,0)),ROUND(Supuestos!$F$12*(1+AZ$53)*$N64,0))))</f>
        <v>27</v>
      </c>
      <c r="BB64" s="124">
        <f t="shared" si="18"/>
        <v>-1555.6253120000019</v>
      </c>
      <c r="BC64" s="124">
        <f t="shared" si="19"/>
        <v>0</v>
      </c>
      <c r="BD64" s="124">
        <f>BD63+BE64-MIN(BD63,ROUND(BD63*Supuestos!$C$71*Supuestos!$F$13,0))</f>
        <v>391</v>
      </c>
      <c r="BE64" s="124">
        <f>MAX(0,MIN(ROUND(Supuestos!$F$12*(1+BD$53)*$N64,0),IF(Supuestos!$C$72&gt;0,Supuestos!$C$72-BD63+MIN(BD63,ROUND(BD63*Supuestos!$C$71*Supuestos!$F$13,0)),ROUND(Supuestos!$F$12*(1+BD$53)*$N64,0))))</f>
        <v>27</v>
      </c>
      <c r="BF64" s="124">
        <f t="shared" si="20"/>
        <v>-846.05477760000213</v>
      </c>
      <c r="BG64" s="124">
        <f t="shared" si="21"/>
        <v>0</v>
      </c>
      <c r="BH64" s="124">
        <f>BH63+BI64-MIN(BH63,ROUND(BH63*Supuestos!$C$71*Supuestos!$F$13,0))</f>
        <v>391</v>
      </c>
      <c r="BI64" s="124">
        <f>MAX(0,MIN(ROUND(Supuestos!$F$12*(1+BH$53)*$N64,0),IF(Supuestos!$C$72&gt;0,Supuestos!$C$72-BH63+MIN(BH63,ROUND(BH63*Supuestos!$C$71*Supuestos!$F$13,0)),ROUND(Supuestos!$F$12*(1+BH$53)*$N64,0))))</f>
        <v>27</v>
      </c>
      <c r="BJ64" s="124">
        <f t="shared" si="22"/>
        <v>-136.48424320000049</v>
      </c>
      <c r="BK64" s="124">
        <f t="shared" si="23"/>
        <v>0</v>
      </c>
      <c r="BL64" s="124">
        <f>BL63+BM64-MIN(BL63,ROUND(BL63*Supuestos!$C$71*Supuestos!$F$13,0))</f>
        <v>433</v>
      </c>
      <c r="BM64" s="124">
        <f>MAX(0,MIN(ROUND(Supuestos!$F$12*(1+BL$53)*$N64,0),IF(Supuestos!$C$72&gt;0,Supuestos!$C$72-BL63+MIN(BL63,ROUND(BL63*Supuestos!$C$71*Supuestos!$F$13,0)),ROUND(Supuestos!$F$12*(1+BL$53)*$N64,0))))</f>
        <v>30</v>
      </c>
      <c r="BN64" s="124">
        <f t="shared" si="24"/>
        <v>-1430.8010304000018</v>
      </c>
      <c r="BO64" s="124">
        <f t="shared" si="25"/>
        <v>0</v>
      </c>
      <c r="BP64" s="124">
        <f>BP63+BQ64-MIN(BP63,ROUND(BP63*Supuestos!$C$71*Supuestos!$F$13,0))</f>
        <v>433</v>
      </c>
      <c r="BQ64" s="124">
        <f>MAX(0,MIN(ROUND(Supuestos!$F$12*(1+BP$53)*$N64,0),IF(Supuestos!$C$72&gt;0,Supuestos!$C$72-BP63+MIN(BP63,ROUND(BP63*Supuestos!$C$71*Supuestos!$F$13,0)),ROUND(Supuestos!$F$12*(1+BP$53)*$N64,0))))</f>
        <v>30</v>
      </c>
      <c r="BR64" s="124">
        <f t="shared" si="26"/>
        <v>-645.01064320000296</v>
      </c>
      <c r="BS64" s="124">
        <f t="shared" si="27"/>
        <v>0</v>
      </c>
      <c r="BT64" s="124">
        <f>BT63+BU64-MIN(BT63,ROUND(BT63*Supuestos!$C$71*Supuestos!$F$13,0))</f>
        <v>433</v>
      </c>
      <c r="BU64" s="124">
        <f>MAX(0,MIN(ROUND(Supuestos!$F$12*(1+BT$53)*$N64,0),IF(Supuestos!$C$72&gt;0,Supuestos!$C$72-BT63+MIN(BT63,ROUND(BT63*Supuestos!$C$71*Supuestos!$F$13,0)),ROUND(Supuestos!$F$12*(1+BT$53)*$N64,0))))</f>
        <v>30</v>
      </c>
      <c r="BV64" s="124">
        <f t="shared" si="28"/>
        <v>140.77974399999584</v>
      </c>
      <c r="BW64" s="124">
        <f t="shared" si="29"/>
        <v>1</v>
      </c>
      <c r="BX64" s="124">
        <f>BX63+BY64-MIN(BX63,ROUND(BX63*Supuestos!$C$71*Supuestos!$F$13,0))</f>
        <v>433</v>
      </c>
      <c r="BY64" s="124">
        <f>MAX(0,MIN(ROUND(Supuestos!$F$12*(1+BX$53)*$N64,0),IF(Supuestos!$C$72&gt;0,Supuestos!$C$72-BX63+MIN(BX63,ROUND(BX63*Supuestos!$C$71*Supuestos!$F$13,0)),ROUND(Supuestos!$F$12*(1+BX$53)*$N64,0))))</f>
        <v>30</v>
      </c>
      <c r="BZ64" s="124">
        <f t="shared" si="30"/>
        <v>926.57013119999829</v>
      </c>
      <c r="CA64" s="124">
        <f t="shared" si="31"/>
        <v>1</v>
      </c>
      <c r="CB64" s="124">
        <f>CB63+CC64-MIN(CB63,ROUND(CB63*Supuestos!$C$71*Supuestos!$F$13,0))</f>
        <v>433</v>
      </c>
      <c r="CC64" s="124">
        <f>MAX(0,MIN(ROUND(Supuestos!$F$12*(1+CB$53)*$N64,0),IF(Supuestos!$C$72&gt;0,Supuestos!$C$72-CB63+MIN(CB63,ROUND(CB63*Supuestos!$C$71*Supuestos!$F$13,0)),ROUND(Supuestos!$F$12*(1+CB$53)*$N64,0))))</f>
        <v>30</v>
      </c>
      <c r="CD64" s="124">
        <f t="shared" si="32"/>
        <v>1712.3605183999971</v>
      </c>
      <c r="CE64" s="124">
        <f t="shared" si="33"/>
        <v>1</v>
      </c>
      <c r="CF64" s="124">
        <f>CF63+CG64-MIN(CF63,ROUND(CF63*Supuestos!$C$71*Supuestos!$F$13,0))</f>
        <v>477</v>
      </c>
      <c r="CG64" s="124">
        <f>MAX(0,MIN(ROUND(Supuestos!$F$12*(1+CF$53)*$N64,0),IF(Supuestos!$C$72&gt;0,Supuestos!$C$72-CF63+MIN(CF63,ROUND(CF63*Supuestos!$C$71*Supuestos!$F$13,0)),ROUND(Supuestos!$F$12*(1+CF$53)*$N64,0))))</f>
        <v>33</v>
      </c>
      <c r="CH64" s="124">
        <f t="shared" si="34"/>
        <v>183.86362240000017</v>
      </c>
      <c r="CI64" s="124">
        <f t="shared" si="35"/>
        <v>1</v>
      </c>
      <c r="CJ64" s="124">
        <f>CJ63+CK64-MIN(CJ63,ROUND(CJ63*Supuestos!$C$71*Supuestos!$F$13,0))</f>
        <v>477</v>
      </c>
      <c r="CK64" s="124">
        <f>MAX(0,MIN(ROUND(Supuestos!$F$12*(1+CJ$53)*$N64,0),IF(Supuestos!$C$72&gt;0,Supuestos!$C$72-CJ63+MIN(CJ63,ROUND(CJ63*Supuestos!$C$71*Supuestos!$F$13,0)),ROUND(Supuestos!$F$12*(1+CJ$53)*$N64,0))))</f>
        <v>33</v>
      </c>
      <c r="CL64" s="124">
        <f t="shared" si="36"/>
        <v>1049.5033791999958</v>
      </c>
      <c r="CM64" s="124">
        <f t="shared" si="37"/>
        <v>1</v>
      </c>
      <c r="CN64" s="124">
        <f>CN63+CO64-MIN(CN63,ROUND(CN63*Supuestos!$C$71*Supuestos!$F$13,0))</f>
        <v>477</v>
      </c>
      <c r="CO64" s="124">
        <f>MAX(0,MIN(ROUND(Supuestos!$F$12*(1+CN$53)*$N64,0),IF(Supuestos!$C$72&gt;0,Supuestos!$C$72-CN63+MIN(CN63,ROUND(CN63*Supuestos!$C$71*Supuestos!$F$13,0)),ROUND(Supuestos!$F$12*(1+CN$53)*$N64,0))))</f>
        <v>33</v>
      </c>
      <c r="CP64" s="124">
        <f t="shared" si="38"/>
        <v>1915.1431359999988</v>
      </c>
      <c r="CQ64" s="124">
        <f t="shared" si="39"/>
        <v>1</v>
      </c>
      <c r="CR64" s="124">
        <f>CR63+CS64-MIN(CR63,ROUND(CR63*Supuestos!$C$71*Supuestos!$F$13,0))</f>
        <v>477</v>
      </c>
      <c r="CS64" s="124">
        <f>MAX(0,MIN(ROUND(Supuestos!$F$12*(1+CR$53)*$N64,0),IF(Supuestos!$C$72&gt;0,Supuestos!$C$72-CR63+MIN(CR63,ROUND(CR63*Supuestos!$C$71*Supuestos!$F$13,0)),ROUND(Supuestos!$F$12*(1+CR$53)*$N64,0))))</f>
        <v>33</v>
      </c>
      <c r="CT64" s="124">
        <f t="shared" si="40"/>
        <v>2780.7828928000017</v>
      </c>
      <c r="CU64" s="124">
        <f t="shared" si="41"/>
        <v>1</v>
      </c>
      <c r="CV64" s="124">
        <f>CV63+CW64-MIN(CV63,ROUND(CV63*Supuestos!$C$71*Supuestos!$F$13,0))</f>
        <v>477</v>
      </c>
      <c r="CW64" s="124">
        <f>MAX(0,MIN(ROUND(Supuestos!$F$12*(1+CV$53)*$N64,0),IF(Supuestos!$C$72&gt;0,Supuestos!$C$72-CV63+MIN(CV63,ROUND(CV63*Supuestos!$C$71*Supuestos!$F$13,0)),ROUND(Supuestos!$F$12*(1+CV$53)*$N64,0))))</f>
        <v>33</v>
      </c>
      <c r="CX64" s="124">
        <f t="shared" si="42"/>
        <v>3646.4226495999974</v>
      </c>
      <c r="CY64" s="124">
        <f t="shared" si="43"/>
        <v>1</v>
      </c>
      <c r="CZ64" s="124">
        <f>CZ63+DA64-MIN(CZ63,ROUND(CZ63*Supuestos!$C$71*Supuestos!$F$13,0))</f>
        <v>520</v>
      </c>
      <c r="DA64" s="124">
        <f>MAX(0,MIN(ROUND(Supuestos!$F$12*(1+CZ$53)*$N64,0),IF(Supuestos!$C$72&gt;0,Supuestos!$C$72-CZ63+MIN(CZ63,ROUND(CZ63*Supuestos!$C$71*Supuestos!$F$13,0)),ROUND(Supuestos!$F$12*(1+CZ$53)*$N64,0))))</f>
        <v>36</v>
      </c>
      <c r="DB64" s="124">
        <f t="shared" si="44"/>
        <v>1763.1786240000001</v>
      </c>
      <c r="DC64" s="124">
        <f t="shared" si="45"/>
        <v>1</v>
      </c>
      <c r="DD64" s="124">
        <f>DD63+DE64-MIN(DD63,ROUND(DD63*Supuestos!$C$71*Supuestos!$F$13,0))</f>
        <v>520</v>
      </c>
      <c r="DE64" s="124">
        <f>MAX(0,MIN(ROUND(Supuestos!$F$12*(1+DD$53)*$N64,0),IF(Supuestos!$C$72&gt;0,Supuestos!$C$72-DD63+MIN(DD63,ROUND(DD63*Supuestos!$C$71*Supuestos!$F$13,0)),ROUND(Supuestos!$F$12*(1+DD$53)*$N64,0))))</f>
        <v>36</v>
      </c>
      <c r="DF64" s="124">
        <f t="shared" si="46"/>
        <v>2706.8529919999964</v>
      </c>
      <c r="DG64" s="124">
        <f t="shared" si="47"/>
        <v>1</v>
      </c>
      <c r="DH64" s="124">
        <f>DH63+DI64-MIN(DH63,ROUND(DH63*Supuestos!$C$71*Supuestos!$F$13,0))</f>
        <v>520</v>
      </c>
      <c r="DI64" s="124">
        <f>MAX(0,MIN(ROUND(Supuestos!$F$12*(1+DH$53)*$N64,0),IF(Supuestos!$C$72&gt;0,Supuestos!$C$72-DH63+MIN(DH63,ROUND(DH63*Supuestos!$C$71*Supuestos!$F$13,0)),ROUND(Supuestos!$F$12*(1+DH$53)*$N64,0))))</f>
        <v>36</v>
      </c>
      <c r="DJ64" s="124">
        <f t="shared" si="48"/>
        <v>3650.5273599999964</v>
      </c>
      <c r="DK64" s="124">
        <f t="shared" si="49"/>
        <v>1</v>
      </c>
      <c r="DL64" s="124">
        <f>DL63+DM64-MIN(DL63,ROUND(DL63*Supuestos!$C$71*Supuestos!$F$13,0))</f>
        <v>520</v>
      </c>
      <c r="DM64" s="124">
        <f>MAX(0,MIN(ROUND(Supuestos!$F$12*(1+DL$53)*$N64,0),IF(Supuestos!$C$72&gt;0,Supuestos!$C$72-DL63+MIN(DL63,ROUND(DL63*Supuestos!$C$71*Supuestos!$F$13,0)),ROUND(Supuestos!$F$12*(1+DL$53)*$N64,0))))</f>
        <v>36</v>
      </c>
      <c r="DN64" s="124">
        <f t="shared" si="50"/>
        <v>4594.201728</v>
      </c>
      <c r="DO64" s="124">
        <f t="shared" si="51"/>
        <v>1</v>
      </c>
      <c r="DP64" s="124">
        <f>DP63+DQ64-MIN(DP63,ROUND(DP63*Supuestos!$C$71*Supuestos!$F$13,0))</f>
        <v>520</v>
      </c>
      <c r="DQ64" s="124">
        <f>MAX(0,MIN(ROUND(Supuestos!$F$12*(1+DP$53)*$N64,0),IF(Supuestos!$C$72&gt;0,Supuestos!$C$72-DP63+MIN(DP63,ROUND(DP63*Supuestos!$C$71*Supuestos!$F$13,0)),ROUND(Supuestos!$F$12*(1+DP$53)*$N64,0))))</f>
        <v>36</v>
      </c>
      <c r="DR64" s="124">
        <f t="shared" si="52"/>
        <v>5537.876096</v>
      </c>
      <c r="DS64" s="124">
        <f t="shared" si="53"/>
        <v>1</v>
      </c>
    </row>
    <row r="65" spans="2:123" ht="13.5" customHeight="1" x14ac:dyDescent="0.2">
      <c r="B65" s="7" t="str">
        <f>"Mes 10  ·  "&amp;CHOOSE(MONTH(DATE(YEAR(Supuestos!$C$8),MONTH(Supuestos!$C$8)+(10)-1,1)),"ene","feb","mar","abr","may","jun","jul","ago","sep","oct","nov","dic")&amp;" "&amp;YEAR(DATE(YEAR(Supuestos!$C$8),MONTH(Supuestos!$C$8)+(10)-1,1))</f>
        <v>Mes 10  ·  jun 2028</v>
      </c>
      <c r="C65" s="74">
        <f>'Previsión 36 meses'!$L$14</f>
        <v>438</v>
      </c>
      <c r="D65" s="72">
        <f t="shared" si="2"/>
        <v>445</v>
      </c>
      <c r="E65" s="59">
        <f>'Previsión 36 meses'!$L$19</f>
        <v>18939.367999999999</v>
      </c>
      <c r="F65" s="59">
        <f>'Previsión 36 meses'!$L$31+'Previsión 36 meses'!$L$35</f>
        <v>18761.772416</v>
      </c>
      <c r="G65" s="59">
        <f>'Previsión 36 meses'!$L$36</f>
        <v>177.59558399999855</v>
      </c>
      <c r="H65" s="59">
        <f>'Previsión 36 meses'!$L$42</f>
        <v>-2149.5381901042319</v>
      </c>
      <c r="I65" s="76">
        <f>'Previsión 36 meses'!$L$43</f>
        <v>16250.589639583068</v>
      </c>
      <c r="J65" s="59">
        <f t="shared" si="3"/>
        <v>-23740.875264000009</v>
      </c>
      <c r="M65" s="119">
        <v>10</v>
      </c>
      <c r="N65" s="123">
        <f>IF($M65&lt;=12,INDEX(Supuestos!$C$55:$C$66,$M65)+IF($M65=1,Supuestos!$C$52,0),IF($M65&lt;=24,Supuestos!$C$69,Supuestos!$C$70)*IFERROR(INDEX(Supuestos!$C$55:$C$66,MOD($M65-1,12)+1)/AVERAGE(Supuestos!$C$55:$C$66),1))</f>
        <v>22</v>
      </c>
      <c r="O65" s="123">
        <f>Supuestos!$C$45*Supuestos!$F$14*(1+Supuestos!$C$112)^INT(($M65-1)/12)*(1-Supuestos!$C$98)</f>
        <v>36.295167999999997</v>
      </c>
      <c r="P65" s="123">
        <f>(Supuestos!$C$48+Supuestos!$C$49)*(1+Supuestos!$C$112)^INT(($M65-1)/12)*(1-Supuestos!$C$98-Supuestos!$C$99)</f>
        <v>2.6840000000000002</v>
      </c>
      <c r="Q65" s="123">
        <f>Supuestos!$C$47*(1+Supuestos!$C$112)^INT(($M65-1)/12)*(1-Supuestos!$C$98)</f>
        <v>19.759999999999998</v>
      </c>
      <c r="R65" s="120">
        <f>'Previsión 36 meses'!$L$31</f>
        <v>17330</v>
      </c>
      <c r="S65" s="120">
        <f t="shared" si="0"/>
        <v>16250.589639583068</v>
      </c>
      <c r="T65" s="120">
        <f t="shared" si="1"/>
        <v>0</v>
      </c>
      <c r="U65" s="22" t="str">
        <f>CHOOSE(MONTH(DATE(YEAR(Supuestos!$C$8),MONTH(Supuestos!$C$8)+(10)-1,1)),"ene","feb","mar","abr","may","jun","jul","ago","sep","oct","nov","dic")&amp;" "&amp;RIGHT(YEAR(DATE(YEAR(Supuestos!$C$8),MONTH(Supuestos!$C$8)+(10)-1,1)),2)</f>
        <v>jun 28</v>
      </c>
      <c r="V65" s="121">
        <f>IF(AND(Supuestos!$C$33&gt;0,J65&gt;=Supuestos!$C$33),1,0)</f>
        <v>0</v>
      </c>
      <c r="X65" s="124">
        <f>X64+Y65-MIN(X64,ROUND(X64*Supuestos!$C$71*Supuestos!$F$13,0))</f>
        <v>350</v>
      </c>
      <c r="Y65" s="124">
        <f>MAX(0,MIN(ROUND(Supuestos!$F$12*(1+X$53)*$N65,0),IF(Supuestos!$C$72&gt;0,Supuestos!$C$72-X64+MIN(X64,ROUND(X64*Supuestos!$C$71*Supuestos!$F$13,0)),ROUND(Supuestos!$F$12*(1+X$53)*$N65,0))))</f>
        <v>18</v>
      </c>
      <c r="Z65" s="124">
        <f t="shared" si="4"/>
        <v>-4601.9420800000007</v>
      </c>
      <c r="AA65" s="124">
        <f t="shared" si="5"/>
        <v>0</v>
      </c>
      <c r="AB65" s="124">
        <f>AB64+AC65-MIN(AB64,ROUND(AB64*Supuestos!$C$71*Supuestos!$F$13,0))</f>
        <v>350</v>
      </c>
      <c r="AC65" s="124">
        <f>MAX(0,MIN(ROUND(Supuestos!$F$12*(1+AB$53)*$N65,0),IF(Supuestos!$C$72&gt;0,Supuestos!$C$72-AB64+MIN(AB64,ROUND(AB64*Supuestos!$C$71*Supuestos!$F$13,0)),ROUND(Supuestos!$F$12*(1+AB$53)*$N65,0))))</f>
        <v>18</v>
      </c>
      <c r="AD65" s="124">
        <f t="shared" si="6"/>
        <v>-3966.7766400000019</v>
      </c>
      <c r="AE65" s="124">
        <f t="shared" si="7"/>
        <v>0</v>
      </c>
      <c r="AF65" s="124">
        <f>AF64+AG65-MIN(AF64,ROUND(AF64*Supuestos!$C$71*Supuestos!$F$13,0))</f>
        <v>350</v>
      </c>
      <c r="AG65" s="124">
        <f>MAX(0,MIN(ROUND(Supuestos!$F$12*(1+AF$53)*$N65,0),IF(Supuestos!$C$72&gt;0,Supuestos!$C$72-AF64+MIN(AF64,ROUND(AF64*Supuestos!$C$71*Supuestos!$F$13,0)),ROUND(Supuestos!$F$12*(1+AF$53)*$N65,0))))</f>
        <v>18</v>
      </c>
      <c r="AH65" s="124">
        <f t="shared" si="8"/>
        <v>-3331.6112000000012</v>
      </c>
      <c r="AI65" s="124">
        <f t="shared" si="9"/>
        <v>0</v>
      </c>
      <c r="AJ65" s="124">
        <f>AJ64+AK65-MIN(AJ64,ROUND(AJ64*Supuestos!$C$71*Supuestos!$F$13,0))</f>
        <v>350</v>
      </c>
      <c r="AK65" s="124">
        <f>MAX(0,MIN(ROUND(Supuestos!$F$12*(1+AJ$53)*$N65,0),IF(Supuestos!$C$72&gt;0,Supuestos!$C$72-AJ64+MIN(AJ64,ROUND(AJ64*Supuestos!$C$71*Supuestos!$F$13,0)),ROUND(Supuestos!$F$12*(1+AJ$53)*$N65,0))))</f>
        <v>18</v>
      </c>
      <c r="AL65" s="124">
        <f t="shared" si="10"/>
        <v>-2696.4457600000005</v>
      </c>
      <c r="AM65" s="124">
        <f t="shared" si="11"/>
        <v>0</v>
      </c>
      <c r="AN65" s="124">
        <f>AN64+AO65-MIN(AN64,ROUND(AN64*Supuestos!$C$71*Supuestos!$F$13,0))</f>
        <v>350</v>
      </c>
      <c r="AO65" s="124">
        <f>MAX(0,MIN(ROUND(Supuestos!$F$12*(1+AN$53)*$N65,0),IF(Supuestos!$C$72&gt;0,Supuestos!$C$72-AN64+MIN(AN64,ROUND(AN64*Supuestos!$C$71*Supuestos!$F$13,0)),ROUND(Supuestos!$F$12*(1+AN$53)*$N65,0))))</f>
        <v>18</v>
      </c>
      <c r="AP65" s="124">
        <f t="shared" si="12"/>
        <v>-2061.2803199999998</v>
      </c>
      <c r="AQ65" s="124">
        <f t="shared" si="13"/>
        <v>0</v>
      </c>
      <c r="AR65" s="124">
        <f>AR64+AS65-MIN(AR64,ROUND(AR64*Supuestos!$C$71*Supuestos!$F$13,0))</f>
        <v>395</v>
      </c>
      <c r="AS65" s="124">
        <f>MAX(0,MIN(ROUND(Supuestos!$F$12*(1+AR$53)*$N65,0),IF(Supuestos!$C$72&gt;0,Supuestos!$C$72-AR64+MIN(AR64,ROUND(AR64*Supuestos!$C$71*Supuestos!$F$13,0)),ROUND(Supuestos!$F$12*(1+AR$53)*$N65,0))))</f>
        <v>20</v>
      </c>
      <c r="AT65" s="124">
        <f t="shared" si="14"/>
        <v>-2971.6877760000007</v>
      </c>
      <c r="AU65" s="124">
        <f t="shared" si="15"/>
        <v>0</v>
      </c>
      <c r="AV65" s="124">
        <f>AV64+AW65-MIN(AV64,ROUND(AV64*Supuestos!$C$71*Supuestos!$F$13,0))</f>
        <v>395</v>
      </c>
      <c r="AW65" s="124">
        <f>MAX(0,MIN(ROUND(Supuestos!$F$12*(1+AV$53)*$N65,0),IF(Supuestos!$C$72&gt;0,Supuestos!$C$72-AV64+MIN(AV64,ROUND(AV64*Supuestos!$C$71*Supuestos!$F$13,0)),ROUND(Supuestos!$F$12*(1+AV$53)*$N65,0))))</f>
        <v>20</v>
      </c>
      <c r="AX65" s="124">
        <f t="shared" si="16"/>
        <v>-2254.8582080000033</v>
      </c>
      <c r="AY65" s="124">
        <f t="shared" si="17"/>
        <v>0</v>
      </c>
      <c r="AZ65" s="124">
        <f>AZ64+BA65-MIN(AZ64,ROUND(AZ64*Supuestos!$C$71*Supuestos!$F$13,0))</f>
        <v>395</v>
      </c>
      <c r="BA65" s="124">
        <f>MAX(0,MIN(ROUND(Supuestos!$F$12*(1+AZ$53)*$N65,0),IF(Supuestos!$C$72&gt;0,Supuestos!$C$72-AZ64+MIN(AZ64,ROUND(AZ64*Supuestos!$C$71*Supuestos!$F$13,0)),ROUND(Supuestos!$F$12*(1+AZ$53)*$N65,0))))</f>
        <v>20</v>
      </c>
      <c r="BB65" s="124">
        <f t="shared" si="18"/>
        <v>-1538.0286400000023</v>
      </c>
      <c r="BC65" s="124">
        <f t="shared" si="19"/>
        <v>0</v>
      </c>
      <c r="BD65" s="124">
        <f>BD64+BE65-MIN(BD64,ROUND(BD64*Supuestos!$C$71*Supuestos!$F$13,0))</f>
        <v>395</v>
      </c>
      <c r="BE65" s="124">
        <f>MAX(0,MIN(ROUND(Supuestos!$F$12*(1+BD$53)*$N65,0),IF(Supuestos!$C$72&gt;0,Supuestos!$C$72-BD64+MIN(BD64,ROUND(BD64*Supuestos!$C$71*Supuestos!$F$13,0)),ROUND(Supuestos!$F$12*(1+BD$53)*$N65,0))))</f>
        <v>20</v>
      </c>
      <c r="BF65" s="124">
        <f t="shared" si="20"/>
        <v>-821.19907200000307</v>
      </c>
      <c r="BG65" s="124">
        <f t="shared" si="21"/>
        <v>0</v>
      </c>
      <c r="BH65" s="124">
        <f>BH64+BI65-MIN(BH64,ROUND(BH64*Supuestos!$C$71*Supuestos!$F$13,0))</f>
        <v>395</v>
      </c>
      <c r="BI65" s="124">
        <f>MAX(0,MIN(ROUND(Supuestos!$F$12*(1+BH$53)*$N65,0),IF(Supuestos!$C$72&gt;0,Supuestos!$C$72-BH64+MIN(BH64,ROUND(BH64*Supuestos!$C$71*Supuestos!$F$13,0)),ROUND(Supuestos!$F$12*(1+BH$53)*$N65,0))))</f>
        <v>20</v>
      </c>
      <c r="BJ65" s="124">
        <f t="shared" si="22"/>
        <v>-104.36950399999841</v>
      </c>
      <c r="BK65" s="124">
        <f t="shared" si="23"/>
        <v>0</v>
      </c>
      <c r="BL65" s="124">
        <f>BL64+BM65-MIN(BL64,ROUND(BL64*Supuestos!$C$71*Supuestos!$F$13,0))</f>
        <v>438</v>
      </c>
      <c r="BM65" s="124">
        <f>MAX(0,MIN(ROUND(Supuestos!$F$12*(1+BL$53)*$N65,0),IF(Supuestos!$C$72&gt;0,Supuestos!$C$72-BL64+MIN(BL64,ROUND(BL64*Supuestos!$C$71*Supuestos!$F$13,0)),ROUND(Supuestos!$F$12*(1+BL$53)*$N65,0))))</f>
        <v>22</v>
      </c>
      <c r="BN65" s="124">
        <f t="shared" si="24"/>
        <v>-1412.1327744000027</v>
      </c>
      <c r="BO65" s="124">
        <f t="shared" si="25"/>
        <v>0</v>
      </c>
      <c r="BP65" s="124">
        <f>BP64+BQ65-MIN(BP64,ROUND(BP64*Supuestos!$C$71*Supuestos!$F$13,0))</f>
        <v>438</v>
      </c>
      <c r="BQ65" s="124">
        <f>MAX(0,MIN(ROUND(Supuestos!$F$12*(1+BP$53)*$N65,0),IF(Supuestos!$C$72&gt;0,Supuestos!$C$72-BP64+MIN(BP64,ROUND(BP64*Supuestos!$C$71*Supuestos!$F$13,0)),ROUND(Supuestos!$F$12*(1+BP$53)*$N65,0))))</f>
        <v>22</v>
      </c>
      <c r="BR65" s="124">
        <f t="shared" si="26"/>
        <v>-617.26859520000289</v>
      </c>
      <c r="BS65" s="124">
        <f t="shared" si="27"/>
        <v>0</v>
      </c>
      <c r="BT65" s="124">
        <f>BT64+BU65-MIN(BT64,ROUND(BT64*Supuestos!$C$71*Supuestos!$F$13,0))</f>
        <v>438</v>
      </c>
      <c r="BU65" s="124">
        <f>MAX(0,MIN(ROUND(Supuestos!$F$12*(1+BT$53)*$N65,0),IF(Supuestos!$C$72&gt;0,Supuestos!$C$72-BT64+MIN(BT64,ROUND(BT64*Supuestos!$C$71*Supuestos!$F$13,0)),ROUND(Supuestos!$F$12*(1+BT$53)*$N65,0))))</f>
        <v>22</v>
      </c>
      <c r="BV65" s="124">
        <f t="shared" si="28"/>
        <v>177.59558399999878</v>
      </c>
      <c r="BW65" s="124">
        <f t="shared" si="29"/>
        <v>1</v>
      </c>
      <c r="BX65" s="124">
        <f>BX64+BY65-MIN(BX64,ROUND(BX64*Supuestos!$C$71*Supuestos!$F$13,0))</f>
        <v>438</v>
      </c>
      <c r="BY65" s="124">
        <f>MAX(0,MIN(ROUND(Supuestos!$F$12*(1+BX$53)*$N65,0),IF(Supuestos!$C$72&gt;0,Supuestos!$C$72-BX64+MIN(BX64,ROUND(BX64*Supuestos!$C$71*Supuestos!$F$13,0)),ROUND(Supuestos!$F$12*(1+BX$53)*$N65,0))))</f>
        <v>22</v>
      </c>
      <c r="BZ65" s="124">
        <f t="shared" si="30"/>
        <v>972.45976320000045</v>
      </c>
      <c r="CA65" s="124">
        <f t="shared" si="31"/>
        <v>1</v>
      </c>
      <c r="CB65" s="124">
        <f>CB64+CC65-MIN(CB64,ROUND(CB64*Supuestos!$C$71*Supuestos!$F$13,0))</f>
        <v>438</v>
      </c>
      <c r="CC65" s="124">
        <f>MAX(0,MIN(ROUND(Supuestos!$F$12*(1+CB$53)*$N65,0),IF(Supuestos!$C$72&gt;0,Supuestos!$C$72-CB64+MIN(CB64,ROUND(CB64*Supuestos!$C$71*Supuestos!$F$13,0)),ROUND(Supuestos!$F$12*(1+CB$53)*$N65,0))))</f>
        <v>22</v>
      </c>
      <c r="CD65" s="124">
        <f t="shared" si="32"/>
        <v>1767.3239424000021</v>
      </c>
      <c r="CE65" s="124">
        <f t="shared" si="33"/>
        <v>1</v>
      </c>
      <c r="CF65" s="124">
        <f>CF64+CG65-MIN(CF64,ROUND(CF64*Supuestos!$C$71*Supuestos!$F$13,0))</f>
        <v>482</v>
      </c>
      <c r="CG65" s="124">
        <f>MAX(0,MIN(ROUND(Supuestos!$F$12*(1+CF$53)*$N65,0),IF(Supuestos!$C$72&gt;0,Supuestos!$C$72-CF64+MIN(CF64,ROUND(CF64*Supuestos!$C$71*Supuestos!$F$13,0)),ROUND(Supuestos!$F$12*(1+CF$53)*$N65,0))))</f>
        <v>24</v>
      </c>
      <c r="CH65" s="124">
        <f t="shared" si="34"/>
        <v>182.77187839999897</v>
      </c>
      <c r="CI65" s="124">
        <f t="shared" si="35"/>
        <v>1</v>
      </c>
      <c r="CJ65" s="124">
        <f>CJ64+CK65-MIN(CJ64,ROUND(CJ64*Supuestos!$C$71*Supuestos!$F$13,0))</f>
        <v>482</v>
      </c>
      <c r="CK65" s="124">
        <f>MAX(0,MIN(ROUND(Supuestos!$F$12*(1+CJ$53)*$N65,0),IF(Supuestos!$C$72&gt;0,Supuestos!$C$72-CJ64+MIN(CJ64,ROUND(CJ64*Supuestos!$C$71*Supuestos!$F$13,0)),ROUND(Supuestos!$F$12*(1+CJ$53)*$N65,0))))</f>
        <v>24</v>
      </c>
      <c r="CL65" s="124">
        <f t="shared" si="36"/>
        <v>1057.4854271999975</v>
      </c>
      <c r="CM65" s="124">
        <f t="shared" si="37"/>
        <v>1</v>
      </c>
      <c r="CN65" s="124">
        <f>CN64+CO65-MIN(CN64,ROUND(CN64*Supuestos!$C$71*Supuestos!$F$13,0))</f>
        <v>482</v>
      </c>
      <c r="CO65" s="124">
        <f>MAX(0,MIN(ROUND(Supuestos!$F$12*(1+CN$53)*$N65,0),IF(Supuestos!$C$72&gt;0,Supuestos!$C$72-CN64+MIN(CN64,ROUND(CN64*Supuestos!$C$71*Supuestos!$F$13,0)),ROUND(Supuestos!$F$12*(1+CN$53)*$N65,0))))</f>
        <v>24</v>
      </c>
      <c r="CP65" s="124">
        <f t="shared" si="38"/>
        <v>1932.1989759999997</v>
      </c>
      <c r="CQ65" s="124">
        <f t="shared" si="39"/>
        <v>1</v>
      </c>
      <c r="CR65" s="124">
        <f>CR64+CS65-MIN(CR64,ROUND(CR64*Supuestos!$C$71*Supuestos!$F$13,0))</f>
        <v>482</v>
      </c>
      <c r="CS65" s="124">
        <f>MAX(0,MIN(ROUND(Supuestos!$F$12*(1+CR$53)*$N65,0),IF(Supuestos!$C$72&gt;0,Supuestos!$C$72-CR64+MIN(CR64,ROUND(CR64*Supuestos!$C$71*Supuestos!$F$13,0)),ROUND(Supuestos!$F$12*(1+CR$53)*$N65,0))))</f>
        <v>24</v>
      </c>
      <c r="CT65" s="124">
        <f t="shared" si="40"/>
        <v>2806.9125247999982</v>
      </c>
      <c r="CU65" s="124">
        <f t="shared" si="41"/>
        <v>1</v>
      </c>
      <c r="CV65" s="124">
        <f>CV64+CW65-MIN(CV64,ROUND(CV64*Supuestos!$C$71*Supuestos!$F$13,0))</f>
        <v>482</v>
      </c>
      <c r="CW65" s="124">
        <f>MAX(0,MIN(ROUND(Supuestos!$F$12*(1+CV$53)*$N65,0),IF(Supuestos!$C$72&gt;0,Supuestos!$C$72-CV64+MIN(CV64,ROUND(CV64*Supuestos!$C$71*Supuestos!$F$13,0)),ROUND(Supuestos!$F$12*(1+CV$53)*$N65,0))))</f>
        <v>24</v>
      </c>
      <c r="CX65" s="124">
        <f t="shared" si="42"/>
        <v>3681.6260736000004</v>
      </c>
      <c r="CY65" s="124">
        <f t="shared" si="43"/>
        <v>1</v>
      </c>
      <c r="CZ65" s="124">
        <f>CZ64+DA65-MIN(CZ64,ROUND(CZ64*Supuestos!$C$71*Supuestos!$F$13,0))</f>
        <v>525</v>
      </c>
      <c r="DA65" s="124">
        <f>MAX(0,MIN(ROUND(Supuestos!$F$12*(1+CZ$53)*$N65,0),IF(Supuestos!$C$72&gt;0,Supuestos!$C$72-CZ64+MIN(CZ64,ROUND(CZ64*Supuestos!$C$71*Supuestos!$F$13,0)),ROUND(Supuestos!$F$12*(1+CZ$53)*$N65,0))))</f>
        <v>26</v>
      </c>
      <c r="DB65" s="124">
        <f t="shared" si="44"/>
        <v>1742.3268799999969</v>
      </c>
      <c r="DC65" s="124">
        <f t="shared" si="45"/>
        <v>1</v>
      </c>
      <c r="DD65" s="124">
        <f>DD64+DE65-MIN(DD64,ROUND(DD64*Supuestos!$C$71*Supuestos!$F$13,0))</f>
        <v>525</v>
      </c>
      <c r="DE65" s="124">
        <f>MAX(0,MIN(ROUND(Supuestos!$F$12*(1+DD$53)*$N65,0),IF(Supuestos!$C$72&gt;0,Supuestos!$C$72-DD64+MIN(DD64,ROUND(DD64*Supuestos!$C$71*Supuestos!$F$13,0)),ROUND(Supuestos!$F$12*(1+DD$53)*$N65,0))))</f>
        <v>26</v>
      </c>
      <c r="DF65" s="124">
        <f t="shared" si="46"/>
        <v>2695.0750399999924</v>
      </c>
      <c r="DG65" s="124">
        <f t="shared" si="47"/>
        <v>1</v>
      </c>
      <c r="DH65" s="124">
        <f>DH64+DI65-MIN(DH64,ROUND(DH64*Supuestos!$C$71*Supuestos!$F$13,0))</f>
        <v>525</v>
      </c>
      <c r="DI65" s="124">
        <f>MAX(0,MIN(ROUND(Supuestos!$F$12*(1+DH$53)*$N65,0),IF(Supuestos!$C$72&gt;0,Supuestos!$C$72-DH64+MIN(DH64,ROUND(DH64*Supuestos!$C$71*Supuestos!$F$13,0)),ROUND(Supuestos!$F$12*(1+DH$53)*$N65,0))))</f>
        <v>26</v>
      </c>
      <c r="DJ65" s="124">
        <f t="shared" si="48"/>
        <v>3647.8231999999953</v>
      </c>
      <c r="DK65" s="124">
        <f t="shared" si="49"/>
        <v>1</v>
      </c>
      <c r="DL65" s="124">
        <f>DL64+DM65-MIN(DL64,ROUND(DL64*Supuestos!$C$71*Supuestos!$F$13,0))</f>
        <v>525</v>
      </c>
      <c r="DM65" s="124">
        <f>MAX(0,MIN(ROUND(Supuestos!$F$12*(1+DL$53)*$N65,0),IF(Supuestos!$C$72&gt;0,Supuestos!$C$72-DL64+MIN(DL64,ROUND(DL64*Supuestos!$C$71*Supuestos!$F$13,0)),ROUND(Supuestos!$F$12*(1+DL$53)*$N65,0))))</f>
        <v>26</v>
      </c>
      <c r="DN65" s="124">
        <f t="shared" si="50"/>
        <v>4600.5713599999981</v>
      </c>
      <c r="DO65" s="124">
        <f t="shared" si="51"/>
        <v>1</v>
      </c>
      <c r="DP65" s="124">
        <f>DP64+DQ65-MIN(DP64,ROUND(DP64*Supuestos!$C$71*Supuestos!$F$13,0))</f>
        <v>525</v>
      </c>
      <c r="DQ65" s="124">
        <f>MAX(0,MIN(ROUND(Supuestos!$F$12*(1+DP$53)*$N65,0),IF(Supuestos!$C$72&gt;0,Supuestos!$C$72-DP64+MIN(DP64,ROUND(DP64*Supuestos!$C$71*Supuestos!$F$13,0)),ROUND(Supuestos!$F$12*(1+DP$53)*$N65,0))))</f>
        <v>26</v>
      </c>
      <c r="DR65" s="124">
        <f t="shared" si="52"/>
        <v>5553.3195199999973</v>
      </c>
      <c r="DS65" s="124">
        <f t="shared" si="53"/>
        <v>1</v>
      </c>
    </row>
    <row r="66" spans="2:123" ht="13.5" customHeight="1" x14ac:dyDescent="0.2">
      <c r="B66" s="7" t="str">
        <f>"Mes 11  ·  "&amp;CHOOSE(MONTH(DATE(YEAR(Supuestos!$C$8),MONTH(Supuestos!$C$8)+(11)-1,1)),"ene","feb","mar","abr","may","jun","jul","ago","sep","oct","nov","dic")&amp;" "&amp;YEAR(DATE(YEAR(Supuestos!$C$8),MONTH(Supuestos!$C$8)+(11)-1,1))</f>
        <v>Mes 11  ·  jul 2028</v>
      </c>
      <c r="C66" s="74">
        <f>'Previsión 36 meses'!$M$14</f>
        <v>435</v>
      </c>
      <c r="D66" s="72">
        <f t="shared" si="2"/>
        <v>445</v>
      </c>
      <c r="E66" s="59">
        <f>'Previsión 36 meses'!$M$19</f>
        <v>18672.659999999996</v>
      </c>
      <c r="F66" s="59">
        <f>'Previsión 36 meses'!$M$31+'Previsión 36 meses'!$M$35</f>
        <v>18750.321919999998</v>
      </c>
      <c r="G66" s="59">
        <f>'Previsión 36 meses'!$M$36</f>
        <v>-77.661920000003647</v>
      </c>
      <c r="H66" s="59">
        <f>'Previsión 36 meses'!$M$42</f>
        <v>-2404.7956941042339</v>
      </c>
      <c r="I66" s="76">
        <f>'Previsión 36 meses'!$M$43</f>
        <v>13845.793945478834</v>
      </c>
      <c r="J66" s="59">
        <f t="shared" si="3"/>
        <v>-23818.537184000012</v>
      </c>
      <c r="M66" s="119">
        <v>11</v>
      </c>
      <c r="N66" s="123">
        <f>IF($M66&lt;=12,INDEX(Supuestos!$C$55:$C$66,$M66)+IF($M66=1,Supuestos!$C$52,0),IF($M66&lt;=24,Supuestos!$C$69,Supuestos!$C$70)*IFERROR(INDEX(Supuestos!$C$55:$C$66,MOD($M66-1,12)+1)/AVERAGE(Supuestos!$C$55:$C$66),1))</f>
        <v>15</v>
      </c>
      <c r="O66" s="123">
        <f>Supuestos!$C$45*Supuestos!$F$14*(1+Supuestos!$C$112)^INT(($M66-1)/12)*(1-Supuestos!$C$98)</f>
        <v>36.295167999999997</v>
      </c>
      <c r="P66" s="123">
        <f>(Supuestos!$C$48+Supuestos!$C$49)*(1+Supuestos!$C$112)^INT(($M66-1)/12)*(1-Supuestos!$C$98-Supuestos!$C$99)</f>
        <v>2.6840000000000002</v>
      </c>
      <c r="Q66" s="123">
        <f>Supuestos!$C$47*(1+Supuestos!$C$112)^INT(($M66-1)/12)*(1-Supuestos!$C$98)</f>
        <v>19.759999999999998</v>
      </c>
      <c r="R66" s="120">
        <f>'Previsión 36 meses'!$M$31</f>
        <v>17330</v>
      </c>
      <c r="S66" s="120">
        <f t="shared" si="0"/>
        <v>13845.793945478834</v>
      </c>
      <c r="T66" s="120">
        <f t="shared" si="1"/>
        <v>0</v>
      </c>
      <c r="U66" s="22" t="str">
        <f>CHOOSE(MONTH(DATE(YEAR(Supuestos!$C$8),MONTH(Supuestos!$C$8)+(11)-1,1)),"ene","feb","mar","abr","may","jun","jul","ago","sep","oct","nov","dic")&amp;" "&amp;RIGHT(YEAR(DATE(YEAR(Supuestos!$C$8),MONTH(Supuestos!$C$8)+(11)-1,1)),2)</f>
        <v>jul 28</v>
      </c>
      <c r="V66" s="121">
        <f>IF(AND(Supuestos!$C$33&gt;0,J66&gt;=Supuestos!$C$33),1,0)</f>
        <v>0</v>
      </c>
      <c r="X66" s="124">
        <f>X65+Y66-MIN(X65,ROUND(X65*Supuestos!$C$71*Supuestos!$F$13,0))</f>
        <v>348</v>
      </c>
      <c r="Y66" s="124">
        <f>MAX(0,MIN(ROUND(Supuestos!$F$12*(1+X$53)*$N66,0),IF(Supuestos!$C$72&gt;0,Supuestos!$C$72-X65+MIN(X65,ROUND(X65*Supuestos!$C$71*Supuestos!$F$13,0)),ROUND(Supuestos!$F$12*(1+X$53)*$N66,0))))</f>
        <v>12</v>
      </c>
      <c r="Z66" s="124">
        <f t="shared" si="4"/>
        <v>-4791.2013824000005</v>
      </c>
      <c r="AA66" s="124">
        <f t="shared" si="5"/>
        <v>0</v>
      </c>
      <c r="AB66" s="124">
        <f>AB65+AC66-MIN(AB65,ROUND(AB65*Supuestos!$C$71*Supuestos!$F$13,0))</f>
        <v>348</v>
      </c>
      <c r="AC66" s="124">
        <f>MAX(0,MIN(ROUND(Supuestos!$F$12*(1+AB$53)*$N66,0),IF(Supuestos!$C$72&gt;0,Supuestos!$C$72-AB65+MIN(AB65,ROUND(AB65*Supuestos!$C$71*Supuestos!$F$13,0)),ROUND(Supuestos!$F$12*(1+AB$53)*$N66,0))))</f>
        <v>12</v>
      </c>
      <c r="AD66" s="124">
        <f t="shared" si="6"/>
        <v>-4159.6654592000014</v>
      </c>
      <c r="AE66" s="124">
        <f t="shared" si="7"/>
        <v>0</v>
      </c>
      <c r="AF66" s="124">
        <f>AF65+AG66-MIN(AF65,ROUND(AF65*Supuestos!$C$71*Supuestos!$F$13,0))</f>
        <v>348</v>
      </c>
      <c r="AG66" s="124">
        <f>MAX(0,MIN(ROUND(Supuestos!$F$12*(1+AF$53)*$N66,0),IF(Supuestos!$C$72&gt;0,Supuestos!$C$72-AF65+MIN(AF65,ROUND(AF65*Supuestos!$C$71*Supuestos!$F$13,0)),ROUND(Supuestos!$F$12*(1+AF$53)*$N66,0))))</f>
        <v>12</v>
      </c>
      <c r="AH66" s="124">
        <f t="shared" si="8"/>
        <v>-3528.1295360000004</v>
      </c>
      <c r="AI66" s="124">
        <f t="shared" si="9"/>
        <v>0</v>
      </c>
      <c r="AJ66" s="124">
        <f>AJ65+AK66-MIN(AJ65,ROUND(AJ65*Supuestos!$C$71*Supuestos!$F$13,0))</f>
        <v>348</v>
      </c>
      <c r="AK66" s="124">
        <f>MAX(0,MIN(ROUND(Supuestos!$F$12*(1+AJ$53)*$N66,0),IF(Supuestos!$C$72&gt;0,Supuestos!$C$72-AJ65+MIN(AJ65,ROUND(AJ65*Supuestos!$C$71*Supuestos!$F$13,0)),ROUND(Supuestos!$F$12*(1+AJ$53)*$N66,0))))</f>
        <v>12</v>
      </c>
      <c r="AL66" s="124">
        <f t="shared" si="10"/>
        <v>-2896.5936128000012</v>
      </c>
      <c r="AM66" s="124">
        <f t="shared" si="11"/>
        <v>0</v>
      </c>
      <c r="AN66" s="124">
        <f>AN65+AO66-MIN(AN65,ROUND(AN65*Supuestos!$C$71*Supuestos!$F$13,0))</f>
        <v>348</v>
      </c>
      <c r="AO66" s="124">
        <f>MAX(0,MIN(ROUND(Supuestos!$F$12*(1+AN$53)*$N66,0),IF(Supuestos!$C$72&gt;0,Supuestos!$C$72-AN65+MIN(AN65,ROUND(AN65*Supuestos!$C$71*Supuestos!$F$13,0)),ROUND(Supuestos!$F$12*(1+AN$53)*$N66,0))))</f>
        <v>12</v>
      </c>
      <c r="AP66" s="124">
        <f t="shared" si="12"/>
        <v>-2265.0576896000002</v>
      </c>
      <c r="AQ66" s="124">
        <f t="shared" si="13"/>
        <v>0</v>
      </c>
      <c r="AR66" s="124">
        <f>AR65+AS66-MIN(AR65,ROUND(AR65*Supuestos!$C$71*Supuestos!$F$13,0))</f>
        <v>393</v>
      </c>
      <c r="AS66" s="124">
        <f>MAX(0,MIN(ROUND(Supuestos!$F$12*(1+AR$53)*$N66,0),IF(Supuestos!$C$72&gt;0,Supuestos!$C$72-AR65+MIN(AR65,ROUND(AR65*Supuestos!$C$71*Supuestos!$F$13,0)),ROUND(Supuestos!$F$12*(1+AR$53)*$N66,0))))</f>
        <v>14</v>
      </c>
      <c r="AT66" s="124">
        <f t="shared" si="14"/>
        <v>-3160.9470784000023</v>
      </c>
      <c r="AU66" s="124">
        <f t="shared" si="15"/>
        <v>0</v>
      </c>
      <c r="AV66" s="124">
        <f>AV65+AW66-MIN(AV65,ROUND(AV65*Supuestos!$C$71*Supuestos!$F$13,0))</f>
        <v>393</v>
      </c>
      <c r="AW66" s="124">
        <f>MAX(0,MIN(ROUND(Supuestos!$F$12*(1+AV$53)*$N66,0),IF(Supuestos!$C$72&gt;0,Supuestos!$C$72-AV65+MIN(AV65,ROUND(AV65*Supuestos!$C$71*Supuestos!$F$13,0)),ROUND(Supuestos!$F$12*(1+AV$53)*$N66,0))))</f>
        <v>14</v>
      </c>
      <c r="AX66" s="124">
        <f t="shared" si="16"/>
        <v>-2447.7470272000046</v>
      </c>
      <c r="AY66" s="124">
        <f t="shared" si="17"/>
        <v>0</v>
      </c>
      <c r="AZ66" s="124">
        <f>AZ65+BA66-MIN(AZ65,ROUND(AZ65*Supuestos!$C$71*Supuestos!$F$13,0))</f>
        <v>393</v>
      </c>
      <c r="BA66" s="124">
        <f>MAX(0,MIN(ROUND(Supuestos!$F$12*(1+AZ$53)*$N66,0),IF(Supuestos!$C$72&gt;0,Supuestos!$C$72-AZ65+MIN(AZ65,ROUND(AZ65*Supuestos!$C$71*Supuestos!$F$13,0)),ROUND(Supuestos!$F$12*(1+AZ$53)*$N66,0))))</f>
        <v>14</v>
      </c>
      <c r="BB66" s="124">
        <f t="shared" si="18"/>
        <v>-1734.5469760000033</v>
      </c>
      <c r="BC66" s="124">
        <f t="shared" si="19"/>
        <v>0</v>
      </c>
      <c r="BD66" s="124">
        <f>BD65+BE66-MIN(BD65,ROUND(BD65*Supuestos!$C$71*Supuestos!$F$13,0))</f>
        <v>393</v>
      </c>
      <c r="BE66" s="124">
        <f>MAX(0,MIN(ROUND(Supuestos!$F$12*(1+BD$53)*$N66,0),IF(Supuestos!$C$72&gt;0,Supuestos!$C$72-BD65+MIN(BD65,ROUND(BD65*Supuestos!$C$71*Supuestos!$F$13,0)),ROUND(Supuestos!$F$12*(1+BD$53)*$N66,0))))</f>
        <v>14</v>
      </c>
      <c r="BF66" s="124">
        <f t="shared" si="20"/>
        <v>-1021.3469248000019</v>
      </c>
      <c r="BG66" s="124">
        <f t="shared" si="21"/>
        <v>0</v>
      </c>
      <c r="BH66" s="124">
        <f>BH65+BI66-MIN(BH65,ROUND(BH65*Supuestos!$C$71*Supuestos!$F$13,0))</f>
        <v>393</v>
      </c>
      <c r="BI66" s="124">
        <f>MAX(0,MIN(ROUND(Supuestos!$F$12*(1+BH$53)*$N66,0),IF(Supuestos!$C$72&gt;0,Supuestos!$C$72-BH65+MIN(BH65,ROUND(BH65*Supuestos!$C$71*Supuestos!$F$13,0)),ROUND(Supuestos!$F$12*(1+BH$53)*$N66,0))))</f>
        <v>14</v>
      </c>
      <c r="BJ66" s="124">
        <f t="shared" si="22"/>
        <v>-308.14687360000244</v>
      </c>
      <c r="BK66" s="124">
        <f t="shared" si="23"/>
        <v>0</v>
      </c>
      <c r="BL66" s="124">
        <f>BL65+BM66-MIN(BL65,ROUND(BL65*Supuestos!$C$71*Supuestos!$F$13,0))</f>
        <v>435</v>
      </c>
      <c r="BM66" s="124">
        <f>MAX(0,MIN(ROUND(Supuestos!$F$12*(1+BL$53)*$N66,0),IF(Supuestos!$C$72&gt;0,Supuestos!$C$72-BL65+MIN(BL65,ROUND(BL65*Supuestos!$C$71*Supuestos!$F$13,0)),ROUND(Supuestos!$F$12*(1+BL$53)*$N66,0))))</f>
        <v>15</v>
      </c>
      <c r="BN66" s="124">
        <f t="shared" si="24"/>
        <v>-1656.5017280000011</v>
      </c>
      <c r="BO66" s="124">
        <f t="shared" si="25"/>
        <v>0</v>
      </c>
      <c r="BP66" s="124">
        <f>BP65+BQ66-MIN(BP65,ROUND(BP65*Supuestos!$C$71*Supuestos!$F$13,0))</f>
        <v>435</v>
      </c>
      <c r="BQ66" s="124">
        <f>MAX(0,MIN(ROUND(Supuestos!$F$12*(1+BP$53)*$N66,0),IF(Supuestos!$C$72&gt;0,Supuestos!$C$72-BP65+MIN(BP65,ROUND(BP65*Supuestos!$C$71*Supuestos!$F$13,0)),ROUND(Supuestos!$F$12*(1+BP$53)*$N66,0))))</f>
        <v>15</v>
      </c>
      <c r="BR66" s="124">
        <f t="shared" si="26"/>
        <v>-867.08182400000442</v>
      </c>
      <c r="BS66" s="124">
        <f t="shared" si="27"/>
        <v>0</v>
      </c>
      <c r="BT66" s="124">
        <f>BT65+BU66-MIN(BT65,ROUND(BT65*Supuestos!$C$71*Supuestos!$F$13,0))</f>
        <v>435</v>
      </c>
      <c r="BU66" s="124">
        <f>MAX(0,MIN(ROUND(Supuestos!$F$12*(1+BT$53)*$N66,0),IF(Supuestos!$C$72&gt;0,Supuestos!$C$72-BT65+MIN(BT65,ROUND(BT65*Supuestos!$C$71*Supuestos!$F$13,0)),ROUND(Supuestos!$F$12*(1+BT$53)*$N66,0))))</f>
        <v>15</v>
      </c>
      <c r="BV66" s="124">
        <f t="shared" si="28"/>
        <v>-77.661920000002283</v>
      </c>
      <c r="BW66" s="124">
        <f t="shared" si="29"/>
        <v>0</v>
      </c>
      <c r="BX66" s="124">
        <f>BX65+BY66-MIN(BX65,ROUND(BX65*Supuestos!$C$71*Supuestos!$F$13,0))</f>
        <v>435</v>
      </c>
      <c r="BY66" s="124">
        <f>MAX(0,MIN(ROUND(Supuestos!$F$12*(1+BX$53)*$N66,0),IF(Supuestos!$C$72&gt;0,Supuestos!$C$72-BX65+MIN(BX65,ROUND(BX65*Supuestos!$C$71*Supuestos!$F$13,0)),ROUND(Supuestos!$F$12*(1+BX$53)*$N66,0))))</f>
        <v>15</v>
      </c>
      <c r="BZ66" s="124">
        <f t="shared" si="30"/>
        <v>711.75798399999985</v>
      </c>
      <c r="CA66" s="124">
        <f t="shared" si="31"/>
        <v>1</v>
      </c>
      <c r="CB66" s="124">
        <f>CB65+CC66-MIN(CB65,ROUND(CB65*Supuestos!$C$71*Supuestos!$F$13,0))</f>
        <v>435</v>
      </c>
      <c r="CC66" s="124">
        <f>MAX(0,MIN(ROUND(Supuestos!$F$12*(1+CB$53)*$N66,0),IF(Supuestos!$C$72&gt;0,Supuestos!$C$72-CB65+MIN(CB65,ROUND(CB65*Supuestos!$C$71*Supuestos!$F$13,0)),ROUND(Supuestos!$F$12*(1+CB$53)*$N66,0))))</f>
        <v>15</v>
      </c>
      <c r="CD66" s="124">
        <f t="shared" si="32"/>
        <v>1501.177888000002</v>
      </c>
      <c r="CE66" s="124">
        <f t="shared" si="33"/>
        <v>1</v>
      </c>
      <c r="CF66" s="124">
        <f>CF65+CG66-MIN(CF65,ROUND(CF65*Supuestos!$C$71*Supuestos!$F$13,0))</f>
        <v>480</v>
      </c>
      <c r="CG66" s="124">
        <f>MAX(0,MIN(ROUND(Supuestos!$F$12*(1+CF$53)*$N66,0),IF(Supuestos!$C$72&gt;0,Supuestos!$C$72-CF65+MIN(CF65,ROUND(CF65*Supuestos!$C$71*Supuestos!$F$13,0)),ROUND(Supuestos!$F$12*(1+CF$53)*$N66,0))))</f>
        <v>17</v>
      </c>
      <c r="CH66" s="124">
        <f t="shared" si="34"/>
        <v>-26.247424000004685</v>
      </c>
      <c r="CI66" s="124">
        <f t="shared" si="35"/>
        <v>0</v>
      </c>
      <c r="CJ66" s="124">
        <f>CJ65+CK66-MIN(CJ65,ROUND(CJ65*Supuestos!$C$71*Supuestos!$F$13,0))</f>
        <v>480</v>
      </c>
      <c r="CK66" s="124">
        <f>MAX(0,MIN(ROUND(Supuestos!$F$12*(1+CJ$53)*$N66,0),IF(Supuestos!$C$72&gt;0,Supuestos!$C$72-CJ65+MIN(CJ65,ROUND(CJ65*Supuestos!$C$71*Supuestos!$F$13,0)),ROUND(Supuestos!$F$12*(1+CJ$53)*$N66,0))))</f>
        <v>17</v>
      </c>
      <c r="CL66" s="124">
        <f t="shared" si="36"/>
        <v>844.83660799999416</v>
      </c>
      <c r="CM66" s="124">
        <f t="shared" si="37"/>
        <v>1</v>
      </c>
      <c r="CN66" s="124">
        <f>CN65+CO66-MIN(CN65,ROUND(CN65*Supuestos!$C$71*Supuestos!$F$13,0))</f>
        <v>480</v>
      </c>
      <c r="CO66" s="124">
        <f>MAX(0,MIN(ROUND(Supuestos!$F$12*(1+CN$53)*$N66,0),IF(Supuestos!$C$72&gt;0,Supuestos!$C$72-CN65+MIN(CN65,ROUND(CN65*Supuestos!$C$71*Supuestos!$F$13,0)),ROUND(Supuestos!$F$12*(1+CN$53)*$N66,0))))</f>
        <v>17</v>
      </c>
      <c r="CP66" s="124">
        <f t="shared" si="38"/>
        <v>1715.9206399999966</v>
      </c>
      <c r="CQ66" s="124">
        <f t="shared" si="39"/>
        <v>1</v>
      </c>
      <c r="CR66" s="124">
        <f>CR65+CS66-MIN(CR65,ROUND(CR65*Supuestos!$C$71*Supuestos!$F$13,0))</f>
        <v>480</v>
      </c>
      <c r="CS66" s="124">
        <f>MAX(0,MIN(ROUND(Supuestos!$F$12*(1+CR$53)*$N66,0),IF(Supuestos!$C$72&gt;0,Supuestos!$C$72-CR65+MIN(CR65,ROUND(CR65*Supuestos!$C$71*Supuestos!$F$13,0)),ROUND(Supuestos!$F$12*(1+CR$53)*$N66,0))))</f>
        <v>17</v>
      </c>
      <c r="CT66" s="124">
        <f t="shared" si="40"/>
        <v>2587.0046719999955</v>
      </c>
      <c r="CU66" s="124">
        <f t="shared" si="41"/>
        <v>1</v>
      </c>
      <c r="CV66" s="124">
        <f>CV65+CW66-MIN(CV65,ROUND(CV65*Supuestos!$C$71*Supuestos!$F$13,0))</f>
        <v>480</v>
      </c>
      <c r="CW66" s="124">
        <f>MAX(0,MIN(ROUND(Supuestos!$F$12*(1+CV$53)*$N66,0),IF(Supuestos!$C$72&gt;0,Supuestos!$C$72-CV65+MIN(CV65,ROUND(CV65*Supuestos!$C$71*Supuestos!$F$13,0)),ROUND(Supuestos!$F$12*(1+CV$53)*$N66,0))))</f>
        <v>17</v>
      </c>
      <c r="CX66" s="124">
        <f t="shared" si="42"/>
        <v>3458.088703999998</v>
      </c>
      <c r="CY66" s="124">
        <f t="shared" si="43"/>
        <v>1</v>
      </c>
      <c r="CZ66" s="124">
        <f>CZ65+DA66-MIN(CZ65,ROUND(CZ65*Supuestos!$C$71*Supuestos!$F$13,0))</f>
        <v>522</v>
      </c>
      <c r="DA66" s="124">
        <f>MAX(0,MIN(ROUND(Supuestos!$F$12*(1+CZ$53)*$N66,0),IF(Supuestos!$C$72&gt;0,Supuestos!$C$72-CZ65+MIN(CZ65,ROUND(CZ65*Supuestos!$C$71*Supuestos!$F$13,0)),ROUND(Supuestos!$F$12*(1+CZ$53)*$N66,0))))</f>
        <v>18</v>
      </c>
      <c r="DB66" s="124">
        <f t="shared" si="44"/>
        <v>1478.1979264000001</v>
      </c>
      <c r="DC66" s="124">
        <f t="shared" si="45"/>
        <v>1</v>
      </c>
      <c r="DD66" s="124">
        <f>DD65+DE66-MIN(DD65,ROUND(DD65*Supuestos!$C$71*Supuestos!$F$13,0))</f>
        <v>522</v>
      </c>
      <c r="DE66" s="124">
        <f>MAX(0,MIN(ROUND(Supuestos!$F$12*(1+DD$53)*$N66,0),IF(Supuestos!$C$72&gt;0,Supuestos!$C$72-DD65+MIN(DD65,ROUND(DD65*Supuestos!$C$71*Supuestos!$F$13,0)),ROUND(Supuestos!$F$12*(1+DD$53)*$N66,0))))</f>
        <v>18</v>
      </c>
      <c r="DF66" s="124">
        <f t="shared" si="46"/>
        <v>2425.5018111999962</v>
      </c>
      <c r="DG66" s="124">
        <f t="shared" si="47"/>
        <v>1</v>
      </c>
      <c r="DH66" s="124">
        <f>DH65+DI66-MIN(DH65,ROUND(DH65*Supuestos!$C$71*Supuestos!$F$13,0))</f>
        <v>522</v>
      </c>
      <c r="DI66" s="124">
        <f>MAX(0,MIN(ROUND(Supuestos!$F$12*(1+DH$53)*$N66,0),IF(Supuestos!$C$72&gt;0,Supuestos!$C$72-DH65+MIN(DH65,ROUND(DH65*Supuestos!$C$71*Supuestos!$F$13,0)),ROUND(Supuestos!$F$12*(1+DH$53)*$N66,0))))</f>
        <v>18</v>
      </c>
      <c r="DJ66" s="124">
        <f t="shared" si="48"/>
        <v>3372.8056959999958</v>
      </c>
      <c r="DK66" s="124">
        <f t="shared" si="49"/>
        <v>1</v>
      </c>
      <c r="DL66" s="124">
        <f>DL65+DM66-MIN(DL65,ROUND(DL65*Supuestos!$C$71*Supuestos!$F$13,0))</f>
        <v>522</v>
      </c>
      <c r="DM66" s="124">
        <f>MAX(0,MIN(ROUND(Supuestos!$F$12*(1+DL$53)*$N66,0),IF(Supuestos!$C$72&gt;0,Supuestos!$C$72-DL65+MIN(DL65,ROUND(DL65*Supuestos!$C$71*Supuestos!$F$13,0)),ROUND(Supuestos!$F$12*(1+DL$53)*$N66,0))))</f>
        <v>18</v>
      </c>
      <c r="DN66" s="124">
        <f t="shared" si="50"/>
        <v>4320.1095807999991</v>
      </c>
      <c r="DO66" s="124">
        <f t="shared" si="51"/>
        <v>1</v>
      </c>
      <c r="DP66" s="124">
        <f>DP65+DQ66-MIN(DP65,ROUND(DP65*Supuestos!$C$71*Supuestos!$F$13,0))</f>
        <v>522</v>
      </c>
      <c r="DQ66" s="124">
        <f>MAX(0,MIN(ROUND(Supuestos!$F$12*(1+DP$53)*$N66,0),IF(Supuestos!$C$72&gt;0,Supuestos!$C$72-DP65+MIN(DP65,ROUND(DP65*Supuestos!$C$71*Supuestos!$F$13,0)),ROUND(Supuestos!$F$12*(1+DP$53)*$N66,0))))</f>
        <v>18</v>
      </c>
      <c r="DR66" s="124">
        <f t="shared" si="52"/>
        <v>5267.4134655999987</v>
      </c>
      <c r="DS66" s="124">
        <f t="shared" si="53"/>
        <v>1</v>
      </c>
    </row>
    <row r="67" spans="2:123" ht="13.5" customHeight="1" x14ac:dyDescent="0.2">
      <c r="B67" s="7" t="str">
        <f>"Mes 12  ·  "&amp;CHOOSE(MONTH(DATE(YEAR(Supuestos!$C$8),MONTH(Supuestos!$C$8)+(12)-1,1)),"ene","feb","mar","abr","may","jun","jul","ago","sep","oct","nov","dic")&amp;" "&amp;YEAR(DATE(YEAR(Supuestos!$C$8),MONTH(Supuestos!$C$8)+(12)-1,1))</f>
        <v>Mes 12  ·  ago 2028</v>
      </c>
      <c r="C67" s="74">
        <f>'Previsión 36 meses'!$N$14</f>
        <v>430</v>
      </c>
      <c r="D67" s="72">
        <f t="shared" si="2"/>
        <v>445</v>
      </c>
      <c r="E67" s="59">
        <f>'Previsión 36 meses'!$N$19</f>
        <v>18401.48</v>
      </c>
      <c r="F67" s="59">
        <f>'Previsión 36 meses'!$N$31+'Previsión 36 meses'!$N$35</f>
        <v>18733.317759999998</v>
      </c>
      <c r="G67" s="59">
        <f>'Previsión 36 meses'!$N$36</f>
        <v>-331.83776000000034</v>
      </c>
      <c r="H67" s="59">
        <f>'Previsión 36 meses'!$N$42</f>
        <v>-2658.9715341042306</v>
      </c>
      <c r="I67" s="76">
        <f>'Previsión 36 meses'!$N$43</f>
        <v>11186.822411374604</v>
      </c>
      <c r="J67" s="59">
        <f t="shared" si="3"/>
        <v>-24150.37494400001</v>
      </c>
      <c r="M67" s="119">
        <v>12</v>
      </c>
      <c r="N67" s="123">
        <f>IF($M67&lt;=12,INDEX(Supuestos!$C$55:$C$66,$M67)+IF($M67=1,Supuestos!$C$52,0),IF($M67&lt;=24,Supuestos!$C$69,Supuestos!$C$70)*IFERROR(INDEX(Supuestos!$C$55:$C$66,MOD($M67-1,12)+1)/AVERAGE(Supuestos!$C$55:$C$66),1))</f>
        <v>12</v>
      </c>
      <c r="O67" s="123">
        <f>Supuestos!$C$45*Supuestos!$F$14*(1+Supuestos!$C$112)^INT(($M67-1)/12)*(1-Supuestos!$C$98)</f>
        <v>36.295167999999997</v>
      </c>
      <c r="P67" s="123">
        <f>(Supuestos!$C$48+Supuestos!$C$49)*(1+Supuestos!$C$112)^INT(($M67-1)/12)*(1-Supuestos!$C$98-Supuestos!$C$99)</f>
        <v>2.6840000000000002</v>
      </c>
      <c r="Q67" s="123">
        <f>Supuestos!$C$47*(1+Supuestos!$C$112)^INT(($M67-1)/12)*(1-Supuestos!$C$98)</f>
        <v>19.759999999999998</v>
      </c>
      <c r="R67" s="120">
        <f>'Previsión 36 meses'!$N$31</f>
        <v>17330</v>
      </c>
      <c r="S67" s="120">
        <f t="shared" si="0"/>
        <v>11186.822411374604</v>
      </c>
      <c r="T67" s="120">
        <f t="shared" si="1"/>
        <v>0</v>
      </c>
      <c r="U67" s="22" t="str">
        <f>CHOOSE(MONTH(DATE(YEAR(Supuestos!$C$8),MONTH(Supuestos!$C$8)+(12)-1,1)),"ene","feb","mar","abr","may","jun","jul","ago","sep","oct","nov","dic")&amp;" "&amp;RIGHT(YEAR(DATE(YEAR(Supuestos!$C$8),MONTH(Supuestos!$C$8)+(12)-1,1)),2)</f>
        <v>ago 28</v>
      </c>
      <c r="V67" s="121">
        <f>IF(AND(Supuestos!$C$33&gt;0,J67&gt;=Supuestos!$C$33),1,0)</f>
        <v>0</v>
      </c>
      <c r="X67" s="124">
        <f>X66+Y67-MIN(X66,ROUND(X66*Supuestos!$C$71*Supuestos!$F$13,0))</f>
        <v>344</v>
      </c>
      <c r="Y67" s="124">
        <f>MAX(0,MIN(ROUND(Supuestos!$F$12*(1+X$53)*$N67,0),IF(Supuestos!$C$72&gt;0,Supuestos!$C$72-X66+MIN(X66,ROUND(X66*Supuestos!$C$71*Supuestos!$F$13,0)),ROUND(Supuestos!$F$12*(1+X$53)*$N67,0))))</f>
        <v>10</v>
      </c>
      <c r="Z67" s="124">
        <f t="shared" si="4"/>
        <v>-4972.1199872000016</v>
      </c>
      <c r="AA67" s="124">
        <f t="shared" si="5"/>
        <v>0</v>
      </c>
      <c r="AB67" s="124">
        <f>AB66+AC67-MIN(AB66,ROUND(AB66*Supuestos!$C$71*Supuestos!$F$13,0))</f>
        <v>344</v>
      </c>
      <c r="AC67" s="124">
        <f>MAX(0,MIN(ROUND(Supuestos!$F$12*(1+AB$53)*$N67,0),IF(Supuestos!$C$72&gt;0,Supuestos!$C$72-AB66+MIN(AB66,ROUND(AB66*Supuestos!$C$71*Supuestos!$F$13,0)),ROUND(Supuestos!$F$12*(1+AB$53)*$N67,0))))</f>
        <v>10</v>
      </c>
      <c r="AD67" s="124">
        <f t="shared" si="6"/>
        <v>-4347.8430976000018</v>
      </c>
      <c r="AE67" s="124">
        <f t="shared" si="7"/>
        <v>0</v>
      </c>
      <c r="AF67" s="124">
        <f>AF66+AG67-MIN(AF66,ROUND(AF66*Supuestos!$C$71*Supuestos!$F$13,0))</f>
        <v>344</v>
      </c>
      <c r="AG67" s="124">
        <f>MAX(0,MIN(ROUND(Supuestos!$F$12*(1+AF$53)*$N67,0),IF(Supuestos!$C$72&gt;0,Supuestos!$C$72-AF66+MIN(AF66,ROUND(AF66*Supuestos!$C$71*Supuestos!$F$13,0)),ROUND(Supuestos!$F$12*(1+AF$53)*$N67,0))))</f>
        <v>10</v>
      </c>
      <c r="AH67" s="124">
        <f t="shared" si="8"/>
        <v>-3723.566208000002</v>
      </c>
      <c r="AI67" s="124">
        <f t="shared" si="9"/>
        <v>0</v>
      </c>
      <c r="AJ67" s="124">
        <f>AJ66+AK67-MIN(AJ66,ROUND(AJ66*Supuestos!$C$71*Supuestos!$F$13,0))</f>
        <v>344</v>
      </c>
      <c r="AK67" s="124">
        <f>MAX(0,MIN(ROUND(Supuestos!$F$12*(1+AJ$53)*$N67,0),IF(Supuestos!$C$72&gt;0,Supuestos!$C$72-AJ66+MIN(AJ66,ROUND(AJ66*Supuestos!$C$71*Supuestos!$F$13,0)),ROUND(Supuestos!$F$12*(1+AJ$53)*$N67,0))))</f>
        <v>10</v>
      </c>
      <c r="AL67" s="124">
        <f t="shared" si="10"/>
        <v>-3099.2893184000004</v>
      </c>
      <c r="AM67" s="124">
        <f t="shared" si="11"/>
        <v>0</v>
      </c>
      <c r="AN67" s="124">
        <f>AN66+AO67-MIN(AN66,ROUND(AN66*Supuestos!$C$71*Supuestos!$F$13,0))</f>
        <v>344</v>
      </c>
      <c r="AO67" s="124">
        <f>MAX(0,MIN(ROUND(Supuestos!$F$12*(1+AN$53)*$N67,0),IF(Supuestos!$C$72&gt;0,Supuestos!$C$72-AN66+MIN(AN66,ROUND(AN66*Supuestos!$C$71*Supuestos!$F$13,0)),ROUND(Supuestos!$F$12*(1+AN$53)*$N67,0))))</f>
        <v>10</v>
      </c>
      <c r="AP67" s="124">
        <f t="shared" si="12"/>
        <v>-2475.0124288000006</v>
      </c>
      <c r="AQ67" s="124">
        <f t="shared" si="13"/>
        <v>0</v>
      </c>
      <c r="AR67" s="124">
        <f>AR66+AS67-MIN(AR66,ROUND(AR66*Supuestos!$C$71*Supuestos!$F$13,0))</f>
        <v>388</v>
      </c>
      <c r="AS67" s="124">
        <f>MAX(0,MIN(ROUND(Supuestos!$F$12*(1+AR$53)*$N67,0),IF(Supuestos!$C$72&gt;0,Supuestos!$C$72-AR66+MIN(AR66,ROUND(AR66*Supuestos!$C$71*Supuestos!$F$13,0)),ROUND(Supuestos!$F$12*(1+AR$53)*$N67,0))))</f>
        <v>11</v>
      </c>
      <c r="AT67" s="124">
        <f t="shared" si="14"/>
        <v>-3396.9753344000001</v>
      </c>
      <c r="AU67" s="124">
        <f t="shared" si="15"/>
        <v>0</v>
      </c>
      <c r="AV67" s="124">
        <f>AV66+AW67-MIN(AV66,ROUND(AV66*Supuestos!$C$71*Supuestos!$F$13,0))</f>
        <v>388</v>
      </c>
      <c r="AW67" s="124">
        <f>MAX(0,MIN(ROUND(Supuestos!$F$12*(1+AV$53)*$N67,0),IF(Supuestos!$C$72&gt;0,Supuestos!$C$72-AV66+MIN(AV66,ROUND(AV66*Supuestos!$C$71*Supuestos!$F$13,0)),ROUND(Supuestos!$F$12*(1+AV$53)*$N67,0))))</f>
        <v>11</v>
      </c>
      <c r="AX67" s="124">
        <f t="shared" si="16"/>
        <v>-2692.8490752000034</v>
      </c>
      <c r="AY67" s="124">
        <f t="shared" si="17"/>
        <v>0</v>
      </c>
      <c r="AZ67" s="124">
        <f>AZ66+BA67-MIN(AZ66,ROUND(AZ66*Supuestos!$C$71*Supuestos!$F$13,0))</f>
        <v>388</v>
      </c>
      <c r="BA67" s="124">
        <f>MAX(0,MIN(ROUND(Supuestos!$F$12*(1+AZ$53)*$N67,0),IF(Supuestos!$C$72&gt;0,Supuestos!$C$72-AZ66+MIN(AZ66,ROUND(AZ66*Supuestos!$C$71*Supuestos!$F$13,0)),ROUND(Supuestos!$F$12*(1+AZ$53)*$N67,0))))</f>
        <v>11</v>
      </c>
      <c r="BB67" s="124">
        <f t="shared" si="18"/>
        <v>-1988.7228160000013</v>
      </c>
      <c r="BC67" s="124">
        <f t="shared" si="19"/>
        <v>0</v>
      </c>
      <c r="BD67" s="124">
        <f>BD66+BE67-MIN(BD66,ROUND(BD66*Supuestos!$C$71*Supuestos!$F$13,0))</f>
        <v>388</v>
      </c>
      <c r="BE67" s="124">
        <f>MAX(0,MIN(ROUND(Supuestos!$F$12*(1+BD$53)*$N67,0),IF(Supuestos!$C$72&gt;0,Supuestos!$C$72-BD66+MIN(BD66,ROUND(BD66*Supuestos!$C$71*Supuestos!$F$13,0)),ROUND(Supuestos!$F$12*(1+BD$53)*$N67,0))))</f>
        <v>11</v>
      </c>
      <c r="BF67" s="124">
        <f t="shared" si="20"/>
        <v>-1284.5965568000011</v>
      </c>
      <c r="BG67" s="124">
        <f t="shared" si="21"/>
        <v>0</v>
      </c>
      <c r="BH67" s="124">
        <f>BH66+BI67-MIN(BH66,ROUND(BH66*Supuestos!$C$71*Supuestos!$F$13,0))</f>
        <v>388</v>
      </c>
      <c r="BI67" s="124">
        <f>MAX(0,MIN(ROUND(Supuestos!$F$12*(1+BH$53)*$N67,0),IF(Supuestos!$C$72&gt;0,Supuestos!$C$72-BH66+MIN(BH66,ROUND(BH66*Supuestos!$C$71*Supuestos!$F$13,0)),ROUND(Supuestos!$F$12*(1+BH$53)*$N67,0))))</f>
        <v>11</v>
      </c>
      <c r="BJ67" s="124">
        <f t="shared" si="22"/>
        <v>-580.47029760000078</v>
      </c>
      <c r="BK67" s="124">
        <f t="shared" si="23"/>
        <v>0</v>
      </c>
      <c r="BL67" s="124">
        <f>BL66+BM67-MIN(BL66,ROUND(BL66*Supuestos!$C$71*Supuestos!$F$13,0))</f>
        <v>430</v>
      </c>
      <c r="BM67" s="124">
        <f>MAX(0,MIN(ROUND(Supuestos!$F$12*(1+BL$53)*$N67,0),IF(Supuestos!$C$72&gt;0,Supuestos!$C$72-BL66+MIN(BL66,ROUND(BL66*Supuestos!$C$71*Supuestos!$F$13,0)),ROUND(Supuestos!$F$12*(1+BL$53)*$N67,0))))</f>
        <v>12</v>
      </c>
      <c r="BN67" s="124">
        <f t="shared" si="24"/>
        <v>-1892.5299840000007</v>
      </c>
      <c r="BO67" s="124">
        <f t="shared" si="25"/>
        <v>0</v>
      </c>
      <c r="BP67" s="124">
        <f>BP66+BQ67-MIN(BP66,ROUND(BP66*Supuestos!$C$71*Supuestos!$F$13,0))</f>
        <v>430</v>
      </c>
      <c r="BQ67" s="124">
        <f>MAX(0,MIN(ROUND(Supuestos!$F$12*(1+BP$53)*$N67,0),IF(Supuestos!$C$72&gt;0,Supuestos!$C$72-BP66+MIN(BP66,ROUND(BP66*Supuestos!$C$71*Supuestos!$F$13,0)),ROUND(Supuestos!$F$12*(1+BP$53)*$N67,0))))</f>
        <v>12</v>
      </c>
      <c r="BR67" s="124">
        <f t="shared" si="26"/>
        <v>-1112.1838720000032</v>
      </c>
      <c r="BS67" s="124">
        <f t="shared" si="27"/>
        <v>0</v>
      </c>
      <c r="BT67" s="124">
        <f>BT66+BU67-MIN(BT66,ROUND(BT66*Supuestos!$C$71*Supuestos!$F$13,0))</f>
        <v>430</v>
      </c>
      <c r="BU67" s="124">
        <f>MAX(0,MIN(ROUND(Supuestos!$F$12*(1+BT$53)*$N67,0),IF(Supuestos!$C$72&gt;0,Supuestos!$C$72-BT66+MIN(BT66,ROUND(BT66*Supuestos!$C$71*Supuestos!$F$13,0)),ROUND(Supuestos!$F$12*(1+BT$53)*$N67,0))))</f>
        <v>12</v>
      </c>
      <c r="BV67" s="124">
        <f t="shared" si="28"/>
        <v>-331.83776000000216</v>
      </c>
      <c r="BW67" s="124">
        <f t="shared" si="29"/>
        <v>0</v>
      </c>
      <c r="BX67" s="124">
        <f>BX66+BY67-MIN(BX66,ROUND(BX66*Supuestos!$C$71*Supuestos!$F$13,0))</f>
        <v>430</v>
      </c>
      <c r="BY67" s="124">
        <f>MAX(0,MIN(ROUND(Supuestos!$F$12*(1+BX$53)*$N67,0),IF(Supuestos!$C$72&gt;0,Supuestos!$C$72-BX66+MIN(BX66,ROUND(BX66*Supuestos!$C$71*Supuestos!$F$13,0)),ROUND(Supuestos!$F$12*(1+BX$53)*$N67,0))))</f>
        <v>12</v>
      </c>
      <c r="BZ67" s="124">
        <f t="shared" si="30"/>
        <v>448.5083519999971</v>
      </c>
      <c r="CA67" s="124">
        <f t="shared" si="31"/>
        <v>1</v>
      </c>
      <c r="CB67" s="124">
        <f>CB66+CC67-MIN(CB66,ROUND(CB66*Supuestos!$C$71*Supuestos!$F$13,0))</f>
        <v>430</v>
      </c>
      <c r="CC67" s="124">
        <f>MAX(0,MIN(ROUND(Supuestos!$F$12*(1+CB$53)*$N67,0),IF(Supuestos!$C$72&gt;0,Supuestos!$C$72-CB66+MIN(CB66,ROUND(CB66*Supuestos!$C$71*Supuestos!$F$13,0)),ROUND(Supuestos!$F$12*(1+CB$53)*$N67,0))))</f>
        <v>12</v>
      </c>
      <c r="CD67" s="124">
        <f t="shared" si="32"/>
        <v>1228.854464</v>
      </c>
      <c r="CE67" s="124">
        <f t="shared" si="33"/>
        <v>1</v>
      </c>
      <c r="CF67" s="124">
        <f>CF66+CG67-MIN(CF66,ROUND(CF66*Supuestos!$C$71*Supuestos!$F$13,0))</f>
        <v>474</v>
      </c>
      <c r="CG67" s="124">
        <f>MAX(0,MIN(ROUND(Supuestos!$F$12*(1+CF$53)*$N67,0),IF(Supuestos!$C$72&gt;0,Supuestos!$C$72-CF66+MIN(CF66,ROUND(CF66*Supuestos!$C$71*Supuestos!$F$13,0)),ROUND(Supuestos!$F$12*(1+CF$53)*$N67,0))))</f>
        <v>13</v>
      </c>
      <c r="CH67" s="124">
        <f t="shared" si="34"/>
        <v>-317.3853311999992</v>
      </c>
      <c r="CI67" s="124">
        <f t="shared" si="35"/>
        <v>0</v>
      </c>
      <c r="CJ67" s="124">
        <f>CJ66+CK67-MIN(CJ66,ROUND(CJ66*Supuestos!$C$71*Supuestos!$F$13,0))</f>
        <v>474</v>
      </c>
      <c r="CK67" s="124">
        <f>MAX(0,MIN(ROUND(Supuestos!$F$12*(1+CJ$53)*$N67,0),IF(Supuestos!$C$72&gt;0,Supuestos!$C$72-CJ66+MIN(CJ66,ROUND(CJ66*Supuestos!$C$71*Supuestos!$F$13,0)),ROUND(Supuestos!$F$12*(1+CJ$53)*$N67,0))))</f>
        <v>13</v>
      </c>
      <c r="CL67" s="124">
        <f t="shared" si="36"/>
        <v>542.81015039999693</v>
      </c>
      <c r="CM67" s="124">
        <f t="shared" si="37"/>
        <v>1</v>
      </c>
      <c r="CN67" s="124">
        <f>CN66+CO67-MIN(CN66,ROUND(CN66*Supuestos!$C$71*Supuestos!$F$13,0))</f>
        <v>474</v>
      </c>
      <c r="CO67" s="124">
        <f>MAX(0,MIN(ROUND(Supuestos!$F$12*(1+CN$53)*$N67,0),IF(Supuestos!$C$72&gt;0,Supuestos!$C$72-CN66+MIN(CN66,ROUND(CN66*Supuestos!$C$71*Supuestos!$F$13,0)),ROUND(Supuestos!$F$12*(1+CN$53)*$N67,0))))</f>
        <v>13</v>
      </c>
      <c r="CP67" s="124">
        <f t="shared" si="38"/>
        <v>1403.0056319999967</v>
      </c>
      <c r="CQ67" s="124">
        <f t="shared" si="39"/>
        <v>1</v>
      </c>
      <c r="CR67" s="124">
        <f>CR66+CS67-MIN(CR66,ROUND(CR66*Supuestos!$C$71*Supuestos!$F$13,0))</f>
        <v>474</v>
      </c>
      <c r="CS67" s="124">
        <f>MAX(0,MIN(ROUND(Supuestos!$F$12*(1+CR$53)*$N67,0),IF(Supuestos!$C$72&gt;0,Supuestos!$C$72-CR66+MIN(CR66,ROUND(CR66*Supuestos!$C$71*Supuestos!$F$13,0)),ROUND(Supuestos!$F$12*(1+CR$53)*$N67,0))))</f>
        <v>13</v>
      </c>
      <c r="CT67" s="124">
        <f t="shared" si="40"/>
        <v>2263.2011136000001</v>
      </c>
      <c r="CU67" s="124">
        <f t="shared" si="41"/>
        <v>1</v>
      </c>
      <c r="CV67" s="124">
        <f>CV66+CW67-MIN(CV66,ROUND(CV66*Supuestos!$C$71*Supuestos!$F$13,0))</f>
        <v>474</v>
      </c>
      <c r="CW67" s="124">
        <f>MAX(0,MIN(ROUND(Supuestos!$F$12*(1+CV$53)*$N67,0),IF(Supuestos!$C$72&gt;0,Supuestos!$C$72-CV66+MIN(CV66,ROUND(CV66*Supuestos!$C$71*Supuestos!$F$13,0)),ROUND(Supuestos!$F$12*(1+CV$53)*$N67,0))))</f>
        <v>13</v>
      </c>
      <c r="CX67" s="124">
        <f t="shared" si="42"/>
        <v>3123.3965951999999</v>
      </c>
      <c r="CY67" s="124">
        <f t="shared" si="43"/>
        <v>1</v>
      </c>
      <c r="CZ67" s="124">
        <f>CZ66+DA67-MIN(CZ66,ROUND(CZ66*Supuestos!$C$71*Supuestos!$F$13,0))</f>
        <v>515</v>
      </c>
      <c r="DA67" s="124">
        <f>MAX(0,MIN(ROUND(Supuestos!$F$12*(1+CZ$53)*$N67,0),IF(Supuestos!$C$72&gt;0,Supuestos!$C$72-CZ66+MIN(CZ66,ROUND(CZ66*Supuestos!$C$71*Supuestos!$F$13,0)),ROUND(Supuestos!$F$12*(1+CZ$53)*$N67,0))))</f>
        <v>14</v>
      </c>
      <c r="DB67" s="124">
        <f t="shared" si="44"/>
        <v>1151.7103679999964</v>
      </c>
      <c r="DC67" s="124">
        <f t="shared" si="45"/>
        <v>1</v>
      </c>
      <c r="DD67" s="124">
        <f>DD66+DE67-MIN(DD66,ROUND(DD66*Supuestos!$C$71*Supuestos!$F$13,0))</f>
        <v>515</v>
      </c>
      <c r="DE67" s="124">
        <f>MAX(0,MIN(ROUND(Supuestos!$F$12*(1+DD$53)*$N67,0),IF(Supuestos!$C$72&gt;0,Supuestos!$C$72-DD66+MIN(DD66,ROUND(DD66*Supuestos!$C$71*Supuestos!$F$13,0)),ROUND(Supuestos!$F$12*(1+DD$53)*$N67,0))))</f>
        <v>14</v>
      </c>
      <c r="DF67" s="124">
        <f t="shared" si="46"/>
        <v>2086.3109439999935</v>
      </c>
      <c r="DG67" s="124">
        <f t="shared" si="47"/>
        <v>1</v>
      </c>
      <c r="DH67" s="124">
        <f>DH66+DI67-MIN(DH66,ROUND(DH66*Supuestos!$C$71*Supuestos!$F$13,0))</f>
        <v>515</v>
      </c>
      <c r="DI67" s="124">
        <f>MAX(0,MIN(ROUND(Supuestos!$F$12*(1+DH$53)*$N67,0),IF(Supuestos!$C$72&gt;0,Supuestos!$C$72-DH66+MIN(DH66,ROUND(DH66*Supuestos!$C$71*Supuestos!$F$13,0)),ROUND(Supuestos!$F$12*(1+DH$53)*$N67,0))))</f>
        <v>14</v>
      </c>
      <c r="DJ67" s="124">
        <f t="shared" si="48"/>
        <v>3020.9115199999978</v>
      </c>
      <c r="DK67" s="124">
        <f t="shared" si="49"/>
        <v>1</v>
      </c>
      <c r="DL67" s="124">
        <f>DL66+DM67-MIN(DL66,ROUND(DL66*Supuestos!$C$71*Supuestos!$F$13,0))</f>
        <v>515</v>
      </c>
      <c r="DM67" s="124">
        <f>MAX(0,MIN(ROUND(Supuestos!$F$12*(1+DL$53)*$N67,0),IF(Supuestos!$C$72&gt;0,Supuestos!$C$72-DL66+MIN(DL66,ROUND(DL66*Supuestos!$C$71*Supuestos!$F$13,0)),ROUND(Supuestos!$F$12*(1+DL$53)*$N67,0))))</f>
        <v>14</v>
      </c>
      <c r="DN67" s="124">
        <f t="shared" si="50"/>
        <v>3955.5120959999986</v>
      </c>
      <c r="DO67" s="124">
        <f t="shared" si="51"/>
        <v>1</v>
      </c>
      <c r="DP67" s="124">
        <f>DP66+DQ67-MIN(DP66,ROUND(DP66*Supuestos!$C$71*Supuestos!$F$13,0))</f>
        <v>515</v>
      </c>
      <c r="DQ67" s="124">
        <f>MAX(0,MIN(ROUND(Supuestos!$F$12*(1+DP$53)*$N67,0),IF(Supuestos!$C$72&gt;0,Supuestos!$C$72-DP66+MIN(DP66,ROUND(DP66*Supuestos!$C$71*Supuestos!$F$13,0)),ROUND(Supuestos!$F$12*(1+DP$53)*$N67,0))))</f>
        <v>14</v>
      </c>
      <c r="DR67" s="124">
        <f t="shared" si="52"/>
        <v>4890.1126719999993</v>
      </c>
      <c r="DS67" s="124">
        <f t="shared" si="53"/>
        <v>1</v>
      </c>
    </row>
    <row r="68" spans="2:123" ht="13.5" customHeight="1" x14ac:dyDescent="0.2">
      <c r="B68" s="7" t="str">
        <f>"Mes 13  ·  "&amp;CHOOSE(MONTH(DATE(YEAR(Supuestos!$C$8),MONTH(Supuestos!$C$8)+(13)-1,1)),"ene","feb","mar","abr","may","jun","jul","ago","sep","oct","nov","dic")&amp;" "&amp;YEAR(DATE(YEAR(Supuestos!$C$8),MONTH(Supuestos!$C$8)+(13)-1,1))</f>
        <v>Mes 13  ·  sep 2028</v>
      </c>
      <c r="C68" s="74">
        <f>'Previsión 36 meses'!$C$52</f>
        <v>483</v>
      </c>
      <c r="D68" s="72">
        <f t="shared" ref="D68:D79" si="54">D$14</f>
        <v>447</v>
      </c>
      <c r="E68" s="59">
        <f>'Previsión 36 meses'!$C$57</f>
        <v>22344.987699999994</v>
      </c>
      <c r="F68" s="59">
        <f>'Previsión 36 meses'!$C$69+'Previsión 36 meses'!$C$73</f>
        <v>19479.4961024</v>
      </c>
      <c r="G68" s="59">
        <f>'Previsión 36 meses'!$C$74</f>
        <v>2865.4915975999929</v>
      </c>
      <c r="H68" s="59">
        <f>'Previsión 36 meses'!$C$80</f>
        <v>538.35782349576266</v>
      </c>
      <c r="I68" s="76">
        <f>'Previsión 36 meses'!$C$81</f>
        <v>11725.180234870366</v>
      </c>
      <c r="J68" s="59">
        <f t="shared" si="3"/>
        <v>-21284.883346400016</v>
      </c>
      <c r="M68" s="119">
        <v>13</v>
      </c>
      <c r="N68" s="123">
        <f>IF($M68&lt;=12,INDEX(Supuestos!$C$55:$C$66,$M68)+IF($M68=1,Supuestos!$C$52,0),IF($M68&lt;=24,Supuestos!$C$69,Supuestos!$C$70)*IFERROR(INDEX(Supuestos!$C$55:$C$66,MOD($M68-1,12)+1)/AVERAGE(Supuestos!$C$55:$C$66),1))</f>
        <v>69.703872437357617</v>
      </c>
      <c r="O68" s="123">
        <f>Supuestos!$C$45*Supuestos!$F$14*(1+Supuestos!$C$112)^INT(($M68-1)/12)*(1-Supuestos!$C$98)</f>
        <v>37.202547199999998</v>
      </c>
      <c r="P68" s="123">
        <f>(Supuestos!$C$48+Supuestos!$C$49)*(1+Supuestos!$C$112)^INT(($M68-1)/12)*(1-Supuestos!$C$98-Supuestos!$C$99)</f>
        <v>2.7510999999999997</v>
      </c>
      <c r="Q68" s="123">
        <f>Supuestos!$C$47*(1+Supuestos!$C$112)^INT(($M68-1)/12)*(1-Supuestos!$C$98)</f>
        <v>20.254000000000001</v>
      </c>
      <c r="R68" s="120">
        <f>'Previsión 36 meses'!$C$69</f>
        <v>17849.900000000001</v>
      </c>
      <c r="S68" s="120">
        <f t="shared" si="0"/>
        <v>11725.180234870366</v>
      </c>
      <c r="T68" s="120">
        <f t="shared" si="1"/>
        <v>0</v>
      </c>
      <c r="U68" s="22" t="str">
        <f>CHOOSE(MONTH(DATE(YEAR(Supuestos!$C$8),MONTH(Supuestos!$C$8)+(13)-1,1)),"ene","feb","mar","abr","may","jun","jul","ago","sep","oct","nov","dic")&amp;" "&amp;RIGHT(YEAR(DATE(YEAR(Supuestos!$C$8),MONTH(Supuestos!$C$8)+(13)-1,1)),2)</f>
        <v>sep 28</v>
      </c>
      <c r="V68" s="121">
        <f>IF(AND(Supuestos!$C$33&gt;0,J68&gt;=Supuestos!$C$33),1,0)</f>
        <v>0</v>
      </c>
      <c r="X68" s="124">
        <f>X67+Y68-MIN(X67,ROUND(X67*Supuestos!$C$71*Supuestos!$F$13,0))</f>
        <v>386</v>
      </c>
      <c r="Y68" s="124">
        <f>MAX(0,MIN(ROUND(Supuestos!$F$12*(1+X$53)*$N68,0),IF(Supuestos!$C$72&gt;0,Supuestos!$C$72-X67+MIN(X67,ROUND(X67*Supuestos!$C$71*Supuestos!$F$13,0)),ROUND(Supuestos!$F$12*(1+X$53)*$N68,0))))</f>
        <v>56</v>
      </c>
      <c r="Z68" s="124">
        <f t="shared" si="4"/>
        <v>-2729.5865027200016</v>
      </c>
      <c r="AA68" s="124">
        <f t="shared" si="5"/>
        <v>0</v>
      </c>
      <c r="AB68" s="124">
        <f>AB67+AC68-MIN(AB67,ROUND(AB67*Supuestos!$C$71*Supuestos!$F$13,0))</f>
        <v>386</v>
      </c>
      <c r="AC68" s="124">
        <f>MAX(0,MIN(ROUND(Supuestos!$F$12*(1+AB$53)*$N68,0),IF(Supuestos!$C$72&gt;0,Supuestos!$C$72-AB67+MIN(AB67,ROUND(AB67*Supuestos!$C$71*Supuestos!$F$13,0)),ROUND(Supuestos!$F$12*(1+AB$53)*$N68,0))))</f>
        <v>56</v>
      </c>
      <c r="AD68" s="124">
        <f t="shared" si="6"/>
        <v>-2011.5773417600012</v>
      </c>
      <c r="AE68" s="124">
        <f t="shared" si="7"/>
        <v>0</v>
      </c>
      <c r="AF68" s="124">
        <f>AF67+AG68-MIN(AF67,ROUND(AF67*Supuestos!$C$71*Supuestos!$F$13,0))</f>
        <v>386</v>
      </c>
      <c r="AG68" s="124">
        <f>MAX(0,MIN(ROUND(Supuestos!$F$12*(1+AF$53)*$N68,0),IF(Supuestos!$C$72&gt;0,Supuestos!$C$72-AF67+MIN(AF67,ROUND(AF67*Supuestos!$C$71*Supuestos!$F$13,0)),ROUND(Supuestos!$F$12*(1+AF$53)*$N68,0))))</f>
        <v>56</v>
      </c>
      <c r="AH68" s="124">
        <f t="shared" si="8"/>
        <v>-1293.5681808000008</v>
      </c>
      <c r="AI68" s="124">
        <f t="shared" si="9"/>
        <v>0</v>
      </c>
      <c r="AJ68" s="124">
        <f>AJ67+AK68-MIN(AJ67,ROUND(AJ67*Supuestos!$C$71*Supuestos!$F$13,0))</f>
        <v>386</v>
      </c>
      <c r="AK68" s="124">
        <f>MAX(0,MIN(ROUND(Supuestos!$F$12*(1+AJ$53)*$N68,0),IF(Supuestos!$C$72&gt;0,Supuestos!$C$72-AJ67+MIN(AJ67,ROUND(AJ67*Supuestos!$C$71*Supuestos!$F$13,0)),ROUND(Supuestos!$F$12*(1+AJ$53)*$N68,0))))</f>
        <v>56</v>
      </c>
      <c r="AL68" s="124">
        <f t="shared" si="10"/>
        <v>-575.55901984000229</v>
      </c>
      <c r="AM68" s="124">
        <f t="shared" si="11"/>
        <v>0</v>
      </c>
      <c r="AN68" s="124">
        <f>AN67+AO68-MIN(AN67,ROUND(AN67*Supuestos!$C$71*Supuestos!$F$13,0))</f>
        <v>386</v>
      </c>
      <c r="AO68" s="124">
        <f>MAX(0,MIN(ROUND(Supuestos!$F$12*(1+AN$53)*$N68,0),IF(Supuestos!$C$72&gt;0,Supuestos!$C$72-AN67+MIN(AN67,ROUND(AN67*Supuestos!$C$71*Supuestos!$F$13,0)),ROUND(Supuestos!$F$12*(1+AN$53)*$N68,0))))</f>
        <v>56</v>
      </c>
      <c r="AP68" s="124">
        <f t="shared" si="12"/>
        <v>142.45014111999626</v>
      </c>
      <c r="AQ68" s="124">
        <f t="shared" si="13"/>
        <v>1</v>
      </c>
      <c r="AR68" s="124">
        <f>AR67+AS68-MIN(AR67,ROUND(AR67*Supuestos!$C$71*Supuestos!$F$13,0))</f>
        <v>435</v>
      </c>
      <c r="AS68" s="124">
        <f>MAX(0,MIN(ROUND(Supuestos!$F$12*(1+AR$53)*$N68,0),IF(Supuestos!$C$72&gt;0,Supuestos!$C$72-AR67+MIN(AR67,ROUND(AR67*Supuestos!$C$71*Supuestos!$F$13,0)),ROUND(Supuestos!$F$12*(1+AR$53)*$N68,0))))</f>
        <v>63</v>
      </c>
      <c r="AT68" s="124">
        <f t="shared" si="14"/>
        <v>-812.37227120000171</v>
      </c>
      <c r="AU68" s="124">
        <f t="shared" si="15"/>
        <v>0</v>
      </c>
      <c r="AV68" s="124">
        <f>AV67+AW68-MIN(AV67,ROUND(AV67*Supuestos!$C$71*Supuestos!$F$13,0))</f>
        <v>435</v>
      </c>
      <c r="AW68" s="124">
        <f>MAX(0,MIN(ROUND(Supuestos!$F$12*(1+AV$53)*$N68,0),IF(Supuestos!$C$72&gt;0,Supuestos!$C$72-AV67+MIN(AV67,ROUND(AV67*Supuestos!$C$71*Supuestos!$F$13,0)),ROUND(Supuestos!$F$12*(1+AV$53)*$N68,0))))</f>
        <v>63</v>
      </c>
      <c r="AX68" s="124">
        <f t="shared" si="16"/>
        <v>-3.2168696000007913</v>
      </c>
      <c r="AY68" s="124">
        <f t="shared" si="17"/>
        <v>0</v>
      </c>
      <c r="AZ68" s="124">
        <f>AZ67+BA68-MIN(AZ67,ROUND(AZ67*Supuestos!$C$71*Supuestos!$F$13,0))</f>
        <v>435</v>
      </c>
      <c r="BA68" s="124">
        <f>MAX(0,MIN(ROUND(Supuestos!$F$12*(1+AZ$53)*$N68,0),IF(Supuestos!$C$72&gt;0,Supuestos!$C$72-AZ67+MIN(AZ67,ROUND(AZ67*Supuestos!$C$71*Supuestos!$F$13,0)),ROUND(Supuestos!$F$12*(1+AZ$53)*$N68,0))))</f>
        <v>63</v>
      </c>
      <c r="BB68" s="124">
        <f t="shared" si="18"/>
        <v>805.93853200000012</v>
      </c>
      <c r="BC68" s="124">
        <f t="shared" si="19"/>
        <v>1</v>
      </c>
      <c r="BD68" s="124">
        <f>BD67+BE68-MIN(BD67,ROUND(BD67*Supuestos!$C$71*Supuestos!$F$13,0))</f>
        <v>435</v>
      </c>
      <c r="BE68" s="124">
        <f>MAX(0,MIN(ROUND(Supuestos!$F$12*(1+BD$53)*$N68,0),IF(Supuestos!$C$72&gt;0,Supuestos!$C$72-BD67+MIN(BD67,ROUND(BD67*Supuestos!$C$71*Supuestos!$F$13,0)),ROUND(Supuestos!$F$12*(1+BD$53)*$N68,0))))</f>
        <v>63</v>
      </c>
      <c r="BF68" s="124">
        <f t="shared" si="20"/>
        <v>1615.0939335999974</v>
      </c>
      <c r="BG68" s="124">
        <f t="shared" si="21"/>
        <v>1</v>
      </c>
      <c r="BH68" s="124">
        <f>BH67+BI68-MIN(BH67,ROUND(BH67*Supuestos!$C$71*Supuestos!$F$13,0))</f>
        <v>435</v>
      </c>
      <c r="BI68" s="124">
        <f>MAX(0,MIN(ROUND(Supuestos!$F$12*(1+BH$53)*$N68,0),IF(Supuestos!$C$72&gt;0,Supuestos!$C$72-BH67+MIN(BH67,ROUND(BH67*Supuestos!$C$71*Supuestos!$F$13,0)),ROUND(Supuestos!$F$12*(1+BH$53)*$N68,0))))</f>
        <v>63</v>
      </c>
      <c r="BJ68" s="124">
        <f t="shared" si="22"/>
        <v>2424.2493351999983</v>
      </c>
      <c r="BK68" s="124">
        <f t="shared" si="23"/>
        <v>1</v>
      </c>
      <c r="BL68" s="124">
        <f>BL67+BM68-MIN(BL67,ROUND(BL67*Supuestos!$C$71*Supuestos!$F$13,0))</f>
        <v>483</v>
      </c>
      <c r="BM68" s="124">
        <f>MAX(0,MIN(ROUND(Supuestos!$F$12*(1+BL$53)*$N68,0),IF(Supuestos!$C$72&gt;0,Supuestos!$C$72-BL67+MIN(BL67,ROUND(BL67*Supuestos!$C$71*Supuestos!$F$13,0)),ROUND(Supuestos!$F$12*(1+BL$53)*$N68,0))))</f>
        <v>70</v>
      </c>
      <c r="BN68" s="124">
        <f t="shared" si="24"/>
        <v>1068.6085678399977</v>
      </c>
      <c r="BO68" s="124">
        <f t="shared" si="25"/>
        <v>1</v>
      </c>
      <c r="BP68" s="124">
        <f>BP67+BQ68-MIN(BP67,ROUND(BP67*Supuestos!$C$71*Supuestos!$F$13,0))</f>
        <v>483</v>
      </c>
      <c r="BQ68" s="124">
        <f>MAX(0,MIN(ROUND(Supuestos!$F$12*(1+BP$53)*$N68,0),IF(Supuestos!$C$72&gt;0,Supuestos!$C$72-BP67+MIN(BP67,ROUND(BP67*Supuestos!$C$71*Supuestos!$F$13,0)),ROUND(Supuestos!$F$12*(1+BP$53)*$N68,0))))</f>
        <v>70</v>
      </c>
      <c r="BR68" s="124">
        <f t="shared" si="26"/>
        <v>1967.0500827199976</v>
      </c>
      <c r="BS68" s="124">
        <f t="shared" si="27"/>
        <v>1</v>
      </c>
      <c r="BT68" s="124">
        <f>BT67+BU68-MIN(BT67,ROUND(BT67*Supuestos!$C$71*Supuestos!$F$13,0))</f>
        <v>483</v>
      </c>
      <c r="BU68" s="124">
        <f>MAX(0,MIN(ROUND(Supuestos!$F$12*(1+BT$53)*$N68,0),IF(Supuestos!$C$72&gt;0,Supuestos!$C$72-BT67+MIN(BT67,ROUND(BT67*Supuestos!$C$71*Supuestos!$F$13,0)),ROUND(Supuestos!$F$12*(1+BT$53)*$N68,0))))</f>
        <v>70</v>
      </c>
      <c r="BV68" s="124">
        <f t="shared" si="28"/>
        <v>2865.4915975999975</v>
      </c>
      <c r="BW68" s="124">
        <f t="shared" si="29"/>
        <v>1</v>
      </c>
      <c r="BX68" s="124">
        <f>BX67+BY68-MIN(BX67,ROUND(BX67*Supuestos!$C$71*Supuestos!$F$13,0))</f>
        <v>483</v>
      </c>
      <c r="BY68" s="124">
        <f>MAX(0,MIN(ROUND(Supuestos!$F$12*(1+BX$53)*$N68,0),IF(Supuestos!$C$72&gt;0,Supuestos!$C$72-BX67+MIN(BX67,ROUND(BX67*Supuestos!$C$71*Supuestos!$F$13,0)),ROUND(Supuestos!$F$12*(1+BX$53)*$N68,0))))</f>
        <v>70</v>
      </c>
      <c r="BZ68" s="124">
        <f t="shared" si="30"/>
        <v>3763.9331124799974</v>
      </c>
      <c r="CA68" s="124">
        <f t="shared" si="31"/>
        <v>1</v>
      </c>
      <c r="CB68" s="124">
        <f>CB67+CC68-MIN(CB67,ROUND(CB67*Supuestos!$C$71*Supuestos!$F$13,0))</f>
        <v>483</v>
      </c>
      <c r="CC68" s="124">
        <f>MAX(0,MIN(ROUND(Supuestos!$F$12*(1+CB$53)*$N68,0),IF(Supuestos!$C$72&gt;0,Supuestos!$C$72-CB67+MIN(CB67,ROUND(CB67*Supuestos!$C$71*Supuestos!$F$13,0)),ROUND(Supuestos!$F$12*(1+CB$53)*$N68,0))))</f>
        <v>70</v>
      </c>
      <c r="CD68" s="124">
        <f t="shared" si="32"/>
        <v>4662.3746273599972</v>
      </c>
      <c r="CE68" s="124">
        <f t="shared" si="33"/>
        <v>1</v>
      </c>
      <c r="CF68" s="124">
        <f>CF67+CG68-MIN(CF67,ROUND(CF67*Supuestos!$C$71*Supuestos!$F$13,0))</f>
        <v>532</v>
      </c>
      <c r="CG68" s="124">
        <f>MAX(0,MIN(ROUND(Supuestos!$F$12*(1+CF$53)*$N68,0),IF(Supuestos!$C$72&gt;0,Supuestos!$C$72-CF67+MIN(CF67,ROUND(CF67*Supuestos!$C$71*Supuestos!$F$13,0)),ROUND(Supuestos!$F$12*(1+CF$53)*$N68,0))))</f>
        <v>77</v>
      </c>
      <c r="CH68" s="124">
        <f t="shared" si="34"/>
        <v>2985.8227993599976</v>
      </c>
      <c r="CI68" s="124">
        <f t="shared" si="35"/>
        <v>1</v>
      </c>
      <c r="CJ68" s="124">
        <f>CJ67+CK68-MIN(CJ67,ROUND(CJ67*Supuestos!$C$71*Supuestos!$F$13,0))</f>
        <v>532</v>
      </c>
      <c r="CK68" s="124">
        <f>MAX(0,MIN(ROUND(Supuestos!$F$12*(1+CJ$53)*$N68,0),IF(Supuestos!$C$72&gt;0,Supuestos!$C$72-CJ67+MIN(CJ67,ROUND(CJ67*Supuestos!$C$71*Supuestos!$F$13,0)),ROUND(Supuestos!$F$12*(1+CJ$53)*$N68,0))))</f>
        <v>77</v>
      </c>
      <c r="CL68" s="124">
        <f t="shared" si="36"/>
        <v>3975.4105548799998</v>
      </c>
      <c r="CM68" s="124">
        <f t="shared" si="37"/>
        <v>1</v>
      </c>
      <c r="CN68" s="124">
        <f>CN67+CO68-MIN(CN67,ROUND(CN67*Supuestos!$C$71*Supuestos!$F$13,0))</f>
        <v>532</v>
      </c>
      <c r="CO68" s="124">
        <f>MAX(0,MIN(ROUND(Supuestos!$F$12*(1+CN$53)*$N68,0),IF(Supuestos!$C$72&gt;0,Supuestos!$C$72-CN67+MIN(CN67,ROUND(CN67*Supuestos!$C$71*Supuestos!$F$13,0)),ROUND(Supuestos!$F$12*(1+CN$53)*$N68,0))))</f>
        <v>77</v>
      </c>
      <c r="CP68" s="124">
        <f t="shared" si="38"/>
        <v>4964.9983103999984</v>
      </c>
      <c r="CQ68" s="124">
        <f t="shared" si="39"/>
        <v>1</v>
      </c>
      <c r="CR68" s="124">
        <f>CR67+CS68-MIN(CR67,ROUND(CR67*Supuestos!$C$71*Supuestos!$F$13,0))</f>
        <v>532</v>
      </c>
      <c r="CS68" s="124">
        <f>MAX(0,MIN(ROUND(Supuestos!$F$12*(1+CR$53)*$N68,0),IF(Supuestos!$C$72&gt;0,Supuestos!$C$72-CR67+MIN(CR67,ROUND(CR67*Supuestos!$C$71*Supuestos!$F$13,0)),ROUND(Supuestos!$F$12*(1+CR$53)*$N68,0))))</f>
        <v>77</v>
      </c>
      <c r="CT68" s="124">
        <f t="shared" si="40"/>
        <v>5954.5860659199971</v>
      </c>
      <c r="CU68" s="124">
        <f t="shared" si="41"/>
        <v>1</v>
      </c>
      <c r="CV68" s="124">
        <f>CV67+CW68-MIN(CV67,ROUND(CV67*Supuestos!$C$71*Supuestos!$F$13,0))</f>
        <v>532</v>
      </c>
      <c r="CW68" s="124">
        <f>MAX(0,MIN(ROUND(Supuestos!$F$12*(1+CV$53)*$N68,0),IF(Supuestos!$C$72&gt;0,Supuestos!$C$72-CV67+MIN(CV67,ROUND(CV67*Supuestos!$C$71*Supuestos!$F$13,0)),ROUND(Supuestos!$F$12*(1+CV$53)*$N68,0))))</f>
        <v>77</v>
      </c>
      <c r="CX68" s="124">
        <f t="shared" si="42"/>
        <v>6944.1738214399993</v>
      </c>
      <c r="CY68" s="124">
        <f t="shared" si="43"/>
        <v>1</v>
      </c>
      <c r="CZ68" s="124">
        <f>CZ67+DA68-MIN(CZ67,ROUND(CZ67*Supuestos!$C$71*Supuestos!$F$13,0))</f>
        <v>578</v>
      </c>
      <c r="DA68" s="124">
        <f>MAX(0,MIN(ROUND(Supuestos!$F$12*(1+CZ$53)*$N68,0),IF(Supuestos!$C$72&gt;0,Supuestos!$C$72-CZ67+MIN(CZ67,ROUND(CZ67*Supuestos!$C$71*Supuestos!$F$13,0)),ROUND(Supuestos!$F$12*(1+CZ$53)*$N68,0))))</f>
        <v>84</v>
      </c>
      <c r="DB68" s="124">
        <f t="shared" si="44"/>
        <v>4794.336853439996</v>
      </c>
      <c r="DC68" s="124">
        <f t="shared" si="45"/>
        <v>1</v>
      </c>
      <c r="DD68" s="124">
        <f>DD67+DE68-MIN(DD67,ROUND(DD67*Supuestos!$C$71*Supuestos!$F$13,0))</f>
        <v>578</v>
      </c>
      <c r="DE68" s="124">
        <f>MAX(0,MIN(ROUND(Supuestos!$F$12*(1+DD$53)*$N68,0),IF(Supuestos!$C$72&gt;0,Supuestos!$C$72-DD67+MIN(DD67,ROUND(DD67*Supuestos!$C$71*Supuestos!$F$13,0)),ROUND(Supuestos!$F$12*(1+DD$53)*$N68,0))))</f>
        <v>84</v>
      </c>
      <c r="DF68" s="124">
        <f t="shared" si="46"/>
        <v>5869.4904675199978</v>
      </c>
      <c r="DG68" s="124">
        <f t="shared" si="47"/>
        <v>1</v>
      </c>
      <c r="DH68" s="124">
        <f>DH67+DI68-MIN(DH67,ROUND(DH67*Supuestos!$C$71*Supuestos!$F$13,0))</f>
        <v>578</v>
      </c>
      <c r="DI68" s="124">
        <f>MAX(0,MIN(ROUND(Supuestos!$F$12*(1+DH$53)*$N68,0),IF(Supuestos!$C$72&gt;0,Supuestos!$C$72-DH67+MIN(DH67,ROUND(DH67*Supuestos!$C$71*Supuestos!$F$13,0)),ROUND(Supuestos!$F$12*(1+DH$53)*$N68,0))))</f>
        <v>84</v>
      </c>
      <c r="DJ68" s="124">
        <f t="shared" si="48"/>
        <v>6944.6440815999958</v>
      </c>
      <c r="DK68" s="124">
        <f t="shared" si="49"/>
        <v>1</v>
      </c>
      <c r="DL68" s="124">
        <f>DL67+DM68-MIN(DL67,ROUND(DL67*Supuestos!$C$71*Supuestos!$F$13,0))</f>
        <v>578</v>
      </c>
      <c r="DM68" s="124">
        <f>MAX(0,MIN(ROUND(Supuestos!$F$12*(1+DL$53)*$N68,0),IF(Supuestos!$C$72&gt;0,Supuestos!$C$72-DL67+MIN(DL67,ROUND(DL67*Supuestos!$C$71*Supuestos!$F$13,0)),ROUND(Supuestos!$F$12*(1+DL$53)*$N68,0))))</f>
        <v>84</v>
      </c>
      <c r="DN68" s="124">
        <f t="shared" si="50"/>
        <v>8019.7976956799976</v>
      </c>
      <c r="DO68" s="124">
        <f t="shared" si="51"/>
        <v>1</v>
      </c>
      <c r="DP68" s="124">
        <f>DP67+DQ68-MIN(DP67,ROUND(DP67*Supuestos!$C$71*Supuestos!$F$13,0))</f>
        <v>578</v>
      </c>
      <c r="DQ68" s="124">
        <f>MAX(0,MIN(ROUND(Supuestos!$F$12*(1+DP$53)*$N68,0),IF(Supuestos!$C$72&gt;0,Supuestos!$C$72-DP67+MIN(DP67,ROUND(DP67*Supuestos!$C$71*Supuestos!$F$13,0)),ROUND(Supuestos!$F$12*(1+DP$53)*$N68,0))))</f>
        <v>84</v>
      </c>
      <c r="DR68" s="124">
        <f t="shared" si="52"/>
        <v>9094.9513097599956</v>
      </c>
      <c r="DS68" s="124">
        <f t="shared" si="53"/>
        <v>1</v>
      </c>
    </row>
    <row r="69" spans="2:123" ht="13.5" customHeight="1" x14ac:dyDescent="0.2">
      <c r="B69" s="7" t="str">
        <f>"Mes 14  ·  "&amp;CHOOSE(MONTH(DATE(YEAR(Supuestos!$C$8),MONTH(Supuestos!$C$8)+(14)-1,1)),"ene","feb","mar","abr","may","jun","jul","ago","sep","oct","nov","dic")&amp;" "&amp;YEAR(DATE(YEAR(Supuestos!$C$8),MONTH(Supuestos!$C$8)+(14)-1,1))</f>
        <v>Mes 14  ·  oct 2028</v>
      </c>
      <c r="C69" s="74">
        <f>'Previsión 36 meses'!$D$52</f>
        <v>515</v>
      </c>
      <c r="D69" s="72">
        <f t="shared" si="54"/>
        <v>447</v>
      </c>
      <c r="E69" s="59">
        <f>'Previsión 36 meses'!$D$57</f>
        <v>23340.828499999996</v>
      </c>
      <c r="F69" s="59">
        <f>'Previsión 36 meses'!$D$69+'Previsión 36 meses'!$D$73</f>
        <v>19581.646192</v>
      </c>
      <c r="G69" s="59">
        <f>'Previsión 36 meses'!$D$74</f>
        <v>3759.1823079999949</v>
      </c>
      <c r="H69" s="59">
        <f>'Previsión 36 meses'!$D$80</f>
        <v>1432.0485338957646</v>
      </c>
      <c r="I69" s="76">
        <f>'Previsión 36 meses'!$D$81</f>
        <v>13157.22876876613</v>
      </c>
      <c r="J69" s="59">
        <f t="shared" si="3"/>
        <v>-17525.70103840002</v>
      </c>
      <c r="M69" s="119">
        <v>14</v>
      </c>
      <c r="N69" s="123">
        <f>IF($M69&lt;=12,INDEX(Supuestos!$C$55:$C$66,$M69)+IF($M69=1,Supuestos!$C$52,0),IF($M69&lt;=24,Supuestos!$C$69,Supuestos!$C$70)*IFERROR(INDEX(Supuestos!$C$55:$C$66,MOD($M69-1,12)+1)/AVERAGE(Supuestos!$C$55:$C$66),1))</f>
        <v>51.116173120728924</v>
      </c>
      <c r="O69" s="123">
        <f>Supuestos!$C$45*Supuestos!$F$14*(1+Supuestos!$C$112)^INT(($M69-1)/12)*(1-Supuestos!$C$98)</f>
        <v>37.202547199999998</v>
      </c>
      <c r="P69" s="123">
        <f>(Supuestos!$C$48+Supuestos!$C$49)*(1+Supuestos!$C$112)^INT(($M69-1)/12)*(1-Supuestos!$C$98-Supuestos!$C$99)</f>
        <v>2.7510999999999997</v>
      </c>
      <c r="Q69" s="123">
        <f>Supuestos!$C$47*(1+Supuestos!$C$112)^INT(($M69-1)/12)*(1-Supuestos!$C$98)</f>
        <v>20.254000000000001</v>
      </c>
      <c r="R69" s="120">
        <f>'Previsión 36 meses'!$D$69</f>
        <v>17849.900000000001</v>
      </c>
      <c r="S69" s="120">
        <f t="shared" si="0"/>
        <v>13157.22876876613</v>
      </c>
      <c r="T69" s="120">
        <f t="shared" si="1"/>
        <v>0</v>
      </c>
      <c r="U69" s="22" t="str">
        <f>CHOOSE(MONTH(DATE(YEAR(Supuestos!$C$8),MONTH(Supuestos!$C$8)+(14)-1,1)),"ene","feb","mar","abr","may","jun","jul","ago","sep","oct","nov","dic")&amp;" "&amp;RIGHT(YEAR(DATE(YEAR(Supuestos!$C$8),MONTH(Supuestos!$C$8)+(14)-1,1)),2)</f>
        <v>oct 28</v>
      </c>
      <c r="V69" s="121">
        <f>IF(AND(Supuestos!$C$33&gt;0,J69&gt;=Supuestos!$C$33),1,0)</f>
        <v>0</v>
      </c>
      <c r="X69" s="124">
        <f>X68+Y69-MIN(X68,ROUND(X68*Supuestos!$C$71*Supuestos!$F$13,0))</f>
        <v>412</v>
      </c>
      <c r="Y69" s="124">
        <f>MAX(0,MIN(ROUND(Supuestos!$F$12*(1+X$53)*$N69,0),IF(Supuestos!$C$72&gt;0,Supuestos!$C$72-X68+MIN(X68,ROUND(X68*Supuestos!$C$71*Supuestos!$F$13,0)),ROUND(Supuestos!$F$12*(1+X$53)*$N69,0))))</f>
        <v>41</v>
      </c>
      <c r="Z69" s="124">
        <f t="shared" si="4"/>
        <v>-2091.3282982400015</v>
      </c>
      <c r="AA69" s="124">
        <f t="shared" si="5"/>
        <v>0</v>
      </c>
      <c r="AB69" s="124">
        <f>AB68+AC69-MIN(AB68,ROUND(AB68*Supuestos!$C$71*Supuestos!$F$13,0))</f>
        <v>412</v>
      </c>
      <c r="AC69" s="124">
        <f>MAX(0,MIN(ROUND(Supuestos!$F$12*(1+AB$53)*$N69,0),IF(Supuestos!$C$72&gt;0,Supuestos!$C$72-AB68+MIN(AB68,ROUND(AB68*Supuestos!$C$71*Supuestos!$F$13,0)),ROUND(Supuestos!$F$12*(1+AB$53)*$N69,0))))</f>
        <v>41</v>
      </c>
      <c r="AD69" s="124">
        <f t="shared" si="6"/>
        <v>-1324.9558259200021</v>
      </c>
      <c r="AE69" s="124">
        <f t="shared" si="7"/>
        <v>0</v>
      </c>
      <c r="AF69" s="124">
        <f>AF68+AG69-MIN(AF68,ROUND(AF68*Supuestos!$C$71*Supuestos!$F$13,0))</f>
        <v>412</v>
      </c>
      <c r="AG69" s="124">
        <f>MAX(0,MIN(ROUND(Supuestos!$F$12*(1+AF$53)*$N69,0),IF(Supuestos!$C$72&gt;0,Supuestos!$C$72-AF68+MIN(AF68,ROUND(AF68*Supuestos!$C$71*Supuestos!$F$13,0)),ROUND(Supuestos!$F$12*(1+AF$53)*$N69,0))))</f>
        <v>41</v>
      </c>
      <c r="AH69" s="124">
        <f t="shared" si="8"/>
        <v>-558.58335360000274</v>
      </c>
      <c r="AI69" s="124">
        <f t="shared" si="9"/>
        <v>0</v>
      </c>
      <c r="AJ69" s="124">
        <f>AJ68+AK69-MIN(AJ68,ROUND(AJ68*Supuestos!$C$71*Supuestos!$F$13,0))</f>
        <v>412</v>
      </c>
      <c r="AK69" s="124">
        <f>MAX(0,MIN(ROUND(Supuestos!$F$12*(1+AJ$53)*$N69,0),IF(Supuestos!$C$72&gt;0,Supuestos!$C$72-AJ68+MIN(AJ68,ROUND(AJ68*Supuestos!$C$71*Supuestos!$F$13,0)),ROUND(Supuestos!$F$12*(1+AJ$53)*$N69,0))))</f>
        <v>41</v>
      </c>
      <c r="AL69" s="124">
        <f t="shared" si="10"/>
        <v>207.78911872000026</v>
      </c>
      <c r="AM69" s="124">
        <f t="shared" si="11"/>
        <v>1</v>
      </c>
      <c r="AN69" s="124">
        <f>AN68+AO69-MIN(AN68,ROUND(AN68*Supuestos!$C$71*Supuestos!$F$13,0))</f>
        <v>412</v>
      </c>
      <c r="AO69" s="124">
        <f>MAX(0,MIN(ROUND(Supuestos!$F$12*(1+AN$53)*$N69,0),IF(Supuestos!$C$72&gt;0,Supuestos!$C$72-AN68+MIN(AN68,ROUND(AN68*Supuestos!$C$71*Supuestos!$F$13,0)),ROUND(Supuestos!$F$12*(1+AN$53)*$N69,0))))</f>
        <v>41</v>
      </c>
      <c r="AP69" s="124">
        <f t="shared" si="12"/>
        <v>974.16159103999962</v>
      </c>
      <c r="AQ69" s="124">
        <f t="shared" si="13"/>
        <v>1</v>
      </c>
      <c r="AR69" s="124">
        <f>AR68+AS69-MIN(AR68,ROUND(AR68*Supuestos!$C$71*Supuestos!$F$13,0))</f>
        <v>464</v>
      </c>
      <c r="AS69" s="124">
        <f>MAX(0,MIN(ROUND(Supuestos!$F$12*(1+AR$53)*$N69,0),IF(Supuestos!$C$72&gt;0,Supuestos!$C$72-AR68+MIN(AR68,ROUND(AR68*Supuestos!$C$71*Supuestos!$F$13,0)),ROUND(Supuestos!$F$12*(1+AR$53)*$N69,0))))</f>
        <v>46</v>
      </c>
      <c r="AT69" s="124">
        <f t="shared" si="14"/>
        <v>-105.92188928000178</v>
      </c>
      <c r="AU69" s="124">
        <f t="shared" si="15"/>
        <v>0</v>
      </c>
      <c r="AV69" s="124">
        <f>AV68+AW69-MIN(AV68,ROUND(AV68*Supuestos!$C$71*Supuestos!$F$13,0))</f>
        <v>464</v>
      </c>
      <c r="AW69" s="124">
        <f>MAX(0,MIN(ROUND(Supuestos!$F$12*(1+AV$53)*$N69,0),IF(Supuestos!$C$72&gt;0,Supuestos!$C$72-AV68+MIN(AV68,ROUND(AV68*Supuestos!$C$71*Supuestos!$F$13,0)),ROUND(Supuestos!$F$12*(1+AV$53)*$N69,0))))</f>
        <v>46</v>
      </c>
      <c r="AX69" s="124">
        <f t="shared" si="16"/>
        <v>757.1772057599992</v>
      </c>
      <c r="AY69" s="124">
        <f t="shared" si="17"/>
        <v>1</v>
      </c>
      <c r="AZ69" s="124">
        <f>AZ68+BA69-MIN(AZ68,ROUND(AZ68*Supuestos!$C$71*Supuestos!$F$13,0))</f>
        <v>464</v>
      </c>
      <c r="BA69" s="124">
        <f>MAX(0,MIN(ROUND(Supuestos!$F$12*(1+AZ$53)*$N69,0),IF(Supuestos!$C$72&gt;0,Supuestos!$C$72-AZ68+MIN(AZ68,ROUND(AZ68*Supuestos!$C$71*Supuestos!$F$13,0)),ROUND(Supuestos!$F$12*(1+AZ$53)*$N69,0))))</f>
        <v>46</v>
      </c>
      <c r="BB69" s="124">
        <f t="shared" si="18"/>
        <v>1620.2763008000002</v>
      </c>
      <c r="BC69" s="124">
        <f t="shared" si="19"/>
        <v>1</v>
      </c>
      <c r="BD69" s="124">
        <f>BD68+BE69-MIN(BD68,ROUND(BD68*Supuestos!$C$71*Supuestos!$F$13,0))</f>
        <v>464</v>
      </c>
      <c r="BE69" s="124">
        <f>MAX(0,MIN(ROUND(Supuestos!$F$12*(1+BD$53)*$N69,0),IF(Supuestos!$C$72&gt;0,Supuestos!$C$72-BD68+MIN(BD68,ROUND(BD68*Supuestos!$C$71*Supuestos!$F$13,0)),ROUND(Supuestos!$F$12*(1+BD$53)*$N69,0))))</f>
        <v>46</v>
      </c>
      <c r="BF69" s="124">
        <f t="shared" si="20"/>
        <v>2483.3753958399975</v>
      </c>
      <c r="BG69" s="124">
        <f t="shared" si="21"/>
        <v>1</v>
      </c>
      <c r="BH69" s="124">
        <f>BH68+BI69-MIN(BH68,ROUND(BH68*Supuestos!$C$71*Supuestos!$F$13,0))</f>
        <v>464</v>
      </c>
      <c r="BI69" s="124">
        <f>MAX(0,MIN(ROUND(Supuestos!$F$12*(1+BH$53)*$N69,0),IF(Supuestos!$C$72&gt;0,Supuestos!$C$72-BH68+MIN(BH68,ROUND(BH68*Supuestos!$C$71*Supuestos!$F$13,0)),ROUND(Supuestos!$F$12*(1+BH$53)*$N69,0))))</f>
        <v>46</v>
      </c>
      <c r="BJ69" s="124">
        <f t="shared" si="22"/>
        <v>3346.4744908799985</v>
      </c>
      <c r="BK69" s="124">
        <f t="shared" si="23"/>
        <v>1</v>
      </c>
      <c r="BL69" s="124">
        <f>BL68+BM69-MIN(BL68,ROUND(BL68*Supuestos!$C$71*Supuestos!$F$13,0))</f>
        <v>515</v>
      </c>
      <c r="BM69" s="124">
        <f>MAX(0,MIN(ROUND(Supuestos!$F$12*(1+BL$53)*$N69,0),IF(Supuestos!$C$72&gt;0,Supuestos!$C$72-BL68+MIN(BL68,ROUND(BL68*Supuestos!$C$71*Supuestos!$F$13,0)),ROUND(Supuestos!$F$12*(1+BL$53)*$N69,0))))</f>
        <v>51</v>
      </c>
      <c r="BN69" s="124">
        <f t="shared" si="24"/>
        <v>1843.2511272000011</v>
      </c>
      <c r="BO69" s="124">
        <f t="shared" si="25"/>
        <v>1</v>
      </c>
      <c r="BP69" s="124">
        <f>BP68+BQ69-MIN(BP68,ROUND(BP68*Supuestos!$C$71*Supuestos!$F$13,0))</f>
        <v>515</v>
      </c>
      <c r="BQ69" s="124">
        <f>MAX(0,MIN(ROUND(Supuestos!$F$12*(1+BP$53)*$N69,0),IF(Supuestos!$C$72&gt;0,Supuestos!$C$72-BP68+MIN(BP68,ROUND(BP68*Supuestos!$C$71*Supuestos!$F$13,0)),ROUND(Supuestos!$F$12*(1+BP$53)*$N69,0))))</f>
        <v>51</v>
      </c>
      <c r="BR69" s="124">
        <f t="shared" si="26"/>
        <v>2801.2167176000003</v>
      </c>
      <c r="BS69" s="124">
        <f t="shared" si="27"/>
        <v>1</v>
      </c>
      <c r="BT69" s="124">
        <f>BT68+BU69-MIN(BT68,ROUND(BT68*Supuestos!$C$71*Supuestos!$F$13,0))</f>
        <v>515</v>
      </c>
      <c r="BU69" s="124">
        <f>MAX(0,MIN(ROUND(Supuestos!$F$12*(1+BT$53)*$N69,0),IF(Supuestos!$C$72&gt;0,Supuestos!$C$72-BT68+MIN(BT68,ROUND(BT68*Supuestos!$C$71*Supuestos!$F$13,0)),ROUND(Supuestos!$F$12*(1+BT$53)*$N69,0))))</f>
        <v>51</v>
      </c>
      <c r="BV69" s="124">
        <f t="shared" si="28"/>
        <v>3759.1823079999995</v>
      </c>
      <c r="BW69" s="124">
        <f t="shared" si="29"/>
        <v>1</v>
      </c>
      <c r="BX69" s="124">
        <f>BX68+BY69-MIN(BX68,ROUND(BX68*Supuestos!$C$71*Supuestos!$F$13,0))</f>
        <v>515</v>
      </c>
      <c r="BY69" s="124">
        <f>MAX(0,MIN(ROUND(Supuestos!$F$12*(1+BX$53)*$N69,0),IF(Supuestos!$C$72&gt;0,Supuestos!$C$72-BX68+MIN(BX68,ROUND(BX68*Supuestos!$C$71*Supuestos!$F$13,0)),ROUND(Supuestos!$F$12*(1+BX$53)*$N69,0))))</f>
        <v>51</v>
      </c>
      <c r="BZ69" s="124">
        <f t="shared" si="30"/>
        <v>4717.1478983999987</v>
      </c>
      <c r="CA69" s="124">
        <f t="shared" si="31"/>
        <v>1</v>
      </c>
      <c r="CB69" s="124">
        <f>CB68+CC69-MIN(CB68,ROUND(CB68*Supuestos!$C$71*Supuestos!$F$13,0))</f>
        <v>515</v>
      </c>
      <c r="CC69" s="124">
        <f>MAX(0,MIN(ROUND(Supuestos!$F$12*(1+CB$53)*$N69,0),IF(Supuestos!$C$72&gt;0,Supuestos!$C$72-CB68+MIN(CB68,ROUND(CB68*Supuestos!$C$71*Supuestos!$F$13,0)),ROUND(Supuestos!$F$12*(1+CB$53)*$N69,0))))</f>
        <v>51</v>
      </c>
      <c r="CD69" s="124">
        <f t="shared" si="32"/>
        <v>5675.1134887999979</v>
      </c>
      <c r="CE69" s="124">
        <f t="shared" si="33"/>
        <v>1</v>
      </c>
      <c r="CF69" s="124">
        <f>CF68+CG69-MIN(CF68,ROUND(CF68*Supuestos!$C$71*Supuestos!$F$13,0))</f>
        <v>567</v>
      </c>
      <c r="CG69" s="124">
        <f>MAX(0,MIN(ROUND(Supuestos!$F$12*(1+CF$53)*$N69,0),IF(Supuestos!$C$72&gt;0,Supuestos!$C$72-CF68+MIN(CF68,ROUND(CF68*Supuestos!$C$71*Supuestos!$F$13,0)),ROUND(Supuestos!$F$12*(1+CF$53)*$N69,0))))</f>
        <v>56</v>
      </c>
      <c r="CH69" s="124">
        <f t="shared" si="34"/>
        <v>3828.6575361599971</v>
      </c>
      <c r="CI69" s="124">
        <f t="shared" si="35"/>
        <v>1</v>
      </c>
      <c r="CJ69" s="124">
        <f>CJ68+CK69-MIN(CJ68,ROUND(CJ68*Supuestos!$C$71*Supuestos!$F$13,0))</f>
        <v>567</v>
      </c>
      <c r="CK69" s="124">
        <f>MAX(0,MIN(ROUND(Supuestos!$F$12*(1+CJ$53)*$N69,0),IF(Supuestos!$C$72&gt;0,Supuestos!$C$72-CJ68+MIN(CJ68,ROUND(CJ68*Supuestos!$C$71*Supuestos!$F$13,0)),ROUND(Supuestos!$F$12*(1+CJ$53)*$N69,0))))</f>
        <v>56</v>
      </c>
      <c r="CL69" s="124">
        <f t="shared" si="36"/>
        <v>4883.3497492800016</v>
      </c>
      <c r="CM69" s="124">
        <f t="shared" si="37"/>
        <v>1</v>
      </c>
      <c r="CN69" s="124">
        <f>CN68+CO69-MIN(CN68,ROUND(CN68*Supuestos!$C$71*Supuestos!$F$13,0))</f>
        <v>567</v>
      </c>
      <c r="CO69" s="124">
        <f>MAX(0,MIN(ROUND(Supuestos!$F$12*(1+CN$53)*$N69,0),IF(Supuestos!$C$72&gt;0,Supuestos!$C$72-CN68+MIN(CN68,ROUND(CN68*Supuestos!$C$71*Supuestos!$F$13,0)),ROUND(Supuestos!$F$12*(1+CN$53)*$N69,0))))</f>
        <v>56</v>
      </c>
      <c r="CP69" s="124">
        <f t="shared" si="38"/>
        <v>5938.0419623999987</v>
      </c>
      <c r="CQ69" s="124">
        <f t="shared" si="39"/>
        <v>1</v>
      </c>
      <c r="CR69" s="124">
        <f>CR68+CS69-MIN(CR68,ROUND(CR68*Supuestos!$C$71*Supuestos!$F$13,0))</f>
        <v>567</v>
      </c>
      <c r="CS69" s="124">
        <f>MAX(0,MIN(ROUND(Supuestos!$F$12*(1+CR$53)*$N69,0),IF(Supuestos!$C$72&gt;0,Supuestos!$C$72-CR68+MIN(CR68,ROUND(CR68*Supuestos!$C$71*Supuestos!$F$13,0)),ROUND(Supuestos!$F$12*(1+CR$53)*$N69,0))))</f>
        <v>56</v>
      </c>
      <c r="CT69" s="124">
        <f t="shared" si="40"/>
        <v>6992.7341755199959</v>
      </c>
      <c r="CU69" s="124">
        <f t="shared" si="41"/>
        <v>1</v>
      </c>
      <c r="CV69" s="124">
        <f>CV68+CW69-MIN(CV68,ROUND(CV68*Supuestos!$C$71*Supuestos!$F$13,0))</f>
        <v>567</v>
      </c>
      <c r="CW69" s="124">
        <f>MAX(0,MIN(ROUND(Supuestos!$F$12*(1+CV$53)*$N69,0),IF(Supuestos!$C$72&gt;0,Supuestos!$C$72-CV68+MIN(CV68,ROUND(CV68*Supuestos!$C$71*Supuestos!$F$13,0)),ROUND(Supuestos!$F$12*(1+CV$53)*$N69,0))))</f>
        <v>56</v>
      </c>
      <c r="CX69" s="124">
        <f t="shared" si="42"/>
        <v>8047.4263886400004</v>
      </c>
      <c r="CY69" s="124">
        <f t="shared" si="43"/>
        <v>1</v>
      </c>
      <c r="CZ69" s="124">
        <f>CZ68+DA69-MIN(CZ68,ROUND(CZ68*Supuestos!$C$71*Supuestos!$F$13,0))</f>
        <v>616</v>
      </c>
      <c r="DA69" s="124">
        <f>MAX(0,MIN(ROUND(Supuestos!$F$12*(1+CZ$53)*$N69,0),IF(Supuestos!$C$72&gt;0,Supuestos!$C$72-CZ68+MIN(CZ68,ROUND(CZ68*Supuestos!$C$71*Supuestos!$F$13,0)),ROUND(Supuestos!$F$12*(1+CZ$53)*$N69,0))))</f>
        <v>61</v>
      </c>
      <c r="DB69" s="124">
        <f t="shared" si="44"/>
        <v>5705.3637676799954</v>
      </c>
      <c r="DC69" s="124">
        <f t="shared" si="45"/>
        <v>1</v>
      </c>
      <c r="DD69" s="124">
        <f>DD68+DE69-MIN(DD68,ROUND(DD68*Supuestos!$C$71*Supuestos!$F$13,0))</f>
        <v>616</v>
      </c>
      <c r="DE69" s="124">
        <f>MAX(0,MIN(ROUND(Supuestos!$F$12*(1+DD$53)*$N69,0),IF(Supuestos!$C$72&gt;0,Supuestos!$C$72-DD68+MIN(DD68,ROUND(DD68*Supuestos!$C$71*Supuestos!$F$13,0)),ROUND(Supuestos!$F$12*(1+DD$53)*$N69,0))))</f>
        <v>61</v>
      </c>
      <c r="DF69" s="124">
        <f t="shared" si="46"/>
        <v>6851.2022214399985</v>
      </c>
      <c r="DG69" s="124">
        <f t="shared" si="47"/>
        <v>1</v>
      </c>
      <c r="DH69" s="124">
        <f>DH68+DI69-MIN(DH68,ROUND(DH68*Supuestos!$C$71*Supuestos!$F$13,0))</f>
        <v>616</v>
      </c>
      <c r="DI69" s="124">
        <f>MAX(0,MIN(ROUND(Supuestos!$F$12*(1+DH$53)*$N69,0),IF(Supuestos!$C$72&gt;0,Supuestos!$C$72-DH68+MIN(DH68,ROUND(DH68*Supuestos!$C$71*Supuestos!$F$13,0)),ROUND(Supuestos!$F$12*(1+DH$53)*$N69,0))))</f>
        <v>61</v>
      </c>
      <c r="DJ69" s="124">
        <f t="shared" si="48"/>
        <v>7997.0406751999981</v>
      </c>
      <c r="DK69" s="124">
        <f t="shared" si="49"/>
        <v>1</v>
      </c>
      <c r="DL69" s="124">
        <f>DL68+DM69-MIN(DL68,ROUND(DL68*Supuestos!$C$71*Supuestos!$F$13,0))</f>
        <v>616</v>
      </c>
      <c r="DM69" s="124">
        <f>MAX(0,MIN(ROUND(Supuestos!$F$12*(1+DL$53)*$N69,0),IF(Supuestos!$C$72&gt;0,Supuestos!$C$72-DL68+MIN(DL68,ROUND(DL68*Supuestos!$C$71*Supuestos!$F$13,0)),ROUND(Supuestos!$F$12*(1+DL$53)*$N69,0))))</f>
        <v>61</v>
      </c>
      <c r="DN69" s="124">
        <f t="shared" si="50"/>
        <v>9142.8791289599976</v>
      </c>
      <c r="DO69" s="124">
        <f t="shared" si="51"/>
        <v>1</v>
      </c>
      <c r="DP69" s="124">
        <f>DP68+DQ69-MIN(DP68,ROUND(DP68*Supuestos!$C$71*Supuestos!$F$13,0))</f>
        <v>616</v>
      </c>
      <c r="DQ69" s="124">
        <f>MAX(0,MIN(ROUND(Supuestos!$F$12*(1+DP$53)*$N69,0),IF(Supuestos!$C$72&gt;0,Supuestos!$C$72-DP68+MIN(DP68,ROUND(DP68*Supuestos!$C$71*Supuestos!$F$13,0)),ROUND(Supuestos!$F$12*(1+DP$53)*$N69,0))))</f>
        <v>61</v>
      </c>
      <c r="DR69" s="124">
        <f t="shared" si="52"/>
        <v>10288.717582719997</v>
      </c>
      <c r="DS69" s="124">
        <f t="shared" si="53"/>
        <v>1</v>
      </c>
    </row>
    <row r="70" spans="2:123" ht="13.5" customHeight="1" x14ac:dyDescent="0.2">
      <c r="B70" s="7" t="str">
        <f>"Mes 15  ·  "&amp;CHOOSE(MONTH(DATE(YEAR(Supuestos!$C$8),MONTH(Supuestos!$C$8)+(15)-1,1)),"ene","feb","mar","abr","may","jun","jul","ago","sep","oct","nov","dic")&amp;" "&amp;YEAR(DATE(YEAR(Supuestos!$C$8),MONTH(Supuestos!$C$8)+(15)-1,1))</f>
        <v>Mes 15  ·  nov 2028</v>
      </c>
      <c r="C70" s="74">
        <f>'Previsión 36 meses'!$E$52</f>
        <v>531</v>
      </c>
      <c r="D70" s="72">
        <f t="shared" si="54"/>
        <v>447</v>
      </c>
      <c r="E70" s="59">
        <f>'Previsión 36 meses'!$E$57</f>
        <v>23746.498899999999</v>
      </c>
      <c r="F70" s="59">
        <f>'Previsión 36 meses'!$E$69+'Previsión 36 meses'!$E$73</f>
        <v>19631.6142368</v>
      </c>
      <c r="G70" s="59">
        <f>'Previsión 36 meses'!$E$74</f>
        <v>4114.8846631999968</v>
      </c>
      <c r="H70" s="59">
        <f>'Previsión 36 meses'!$E$80</f>
        <v>1787.7508890957665</v>
      </c>
      <c r="I70" s="76">
        <f>'Previsión 36 meses'!$E$81</f>
        <v>14944.979657861897</v>
      </c>
      <c r="J70" s="59">
        <f t="shared" si="3"/>
        <v>-13410.816375200024</v>
      </c>
      <c r="M70" s="119">
        <v>15</v>
      </c>
      <c r="N70" s="123">
        <f>IF($M70&lt;=12,INDEX(Supuestos!$C$55:$C$66,$M70)+IF($M70=1,Supuestos!$C$52,0),IF($M70&lt;=24,Supuestos!$C$69,Supuestos!$C$70)*IFERROR(INDEX(Supuestos!$C$55:$C$66,MOD($M70-1,12)+1)/AVERAGE(Supuestos!$C$55:$C$66),1))</f>
        <v>37.175398633257402</v>
      </c>
      <c r="O70" s="123">
        <f>Supuestos!$C$45*Supuestos!$F$14*(1+Supuestos!$C$112)^INT(($M70-1)/12)*(1-Supuestos!$C$98)</f>
        <v>37.202547199999998</v>
      </c>
      <c r="P70" s="123">
        <f>(Supuestos!$C$48+Supuestos!$C$49)*(1+Supuestos!$C$112)^INT(($M70-1)/12)*(1-Supuestos!$C$98-Supuestos!$C$99)</f>
        <v>2.7510999999999997</v>
      </c>
      <c r="Q70" s="123">
        <f>Supuestos!$C$47*(1+Supuestos!$C$112)^INT(($M70-1)/12)*(1-Supuestos!$C$98)</f>
        <v>20.254000000000001</v>
      </c>
      <c r="R70" s="120">
        <f>'Previsión 36 meses'!$E$69</f>
        <v>17849.900000000001</v>
      </c>
      <c r="S70" s="120">
        <f t="shared" si="0"/>
        <v>14944.979657861897</v>
      </c>
      <c r="T70" s="120">
        <f t="shared" si="1"/>
        <v>0</v>
      </c>
      <c r="U70" s="22" t="str">
        <f>CHOOSE(MONTH(DATE(YEAR(Supuestos!$C$8),MONTH(Supuestos!$C$8)+(15)-1,1)),"ene","feb","mar","abr","may","jun","jul","ago","sep","oct","nov","dic")&amp;" "&amp;RIGHT(YEAR(DATE(YEAR(Supuestos!$C$8),MONTH(Supuestos!$C$8)+(15)-1,1)),2)</f>
        <v>nov 28</v>
      </c>
      <c r="V70" s="121">
        <f>IF(AND(Supuestos!$C$33&gt;0,J70&gt;=Supuestos!$C$33),1,0)</f>
        <v>0</v>
      </c>
      <c r="X70" s="124">
        <f>X69+Y70-MIN(X69,ROUND(X69*Supuestos!$C$71*Supuestos!$F$13,0))</f>
        <v>426</v>
      </c>
      <c r="Y70" s="124">
        <f>MAX(0,MIN(ROUND(Supuestos!$F$12*(1+X$53)*$N70,0),IF(Supuestos!$C$72&gt;0,Supuestos!$C$72-X69+MIN(X69,ROUND(X69*Supuestos!$C$71*Supuestos!$F$13,0)),ROUND(Supuestos!$F$12*(1+X$53)*$N70,0))))</f>
        <v>30</v>
      </c>
      <c r="Z70" s="124">
        <f t="shared" si="4"/>
        <v>-1806.8548035200001</v>
      </c>
      <c r="AA70" s="124">
        <f t="shared" si="5"/>
        <v>0</v>
      </c>
      <c r="AB70" s="124">
        <f>AB69+AC70-MIN(AB69,ROUND(AB69*Supuestos!$C$71*Supuestos!$F$13,0))</f>
        <v>426</v>
      </c>
      <c r="AC70" s="124">
        <f>MAX(0,MIN(ROUND(Supuestos!$F$12*(1+AB$53)*$N70,0),IF(Supuestos!$C$72&gt;0,Supuestos!$C$72-AB69+MIN(AB69,ROUND(AB69*Supuestos!$C$71*Supuestos!$F$13,0)),ROUND(Supuestos!$F$12*(1+AB$53)*$N70,0))))</f>
        <v>30</v>
      </c>
      <c r="AD70" s="124">
        <f t="shared" si="6"/>
        <v>-1014.4405481600006</v>
      </c>
      <c r="AE70" s="124">
        <f t="shared" si="7"/>
        <v>0</v>
      </c>
      <c r="AF70" s="124">
        <f>AF69+AG70-MIN(AF69,ROUND(AF69*Supuestos!$C$71*Supuestos!$F$13,0))</f>
        <v>426</v>
      </c>
      <c r="AG70" s="124">
        <f>MAX(0,MIN(ROUND(Supuestos!$F$12*(1+AF$53)*$N70,0),IF(Supuestos!$C$72&gt;0,Supuestos!$C$72-AF69+MIN(AF69,ROUND(AF69*Supuestos!$C$71*Supuestos!$F$13,0)),ROUND(Supuestos!$F$12*(1+AF$53)*$N70,0))))</f>
        <v>30</v>
      </c>
      <c r="AH70" s="124">
        <f t="shared" si="8"/>
        <v>-222.02629280000474</v>
      </c>
      <c r="AI70" s="124">
        <f t="shared" si="9"/>
        <v>0</v>
      </c>
      <c r="AJ70" s="124">
        <f>AJ69+AK70-MIN(AJ69,ROUND(AJ69*Supuestos!$C$71*Supuestos!$F$13,0))</f>
        <v>426</v>
      </c>
      <c r="AK70" s="124">
        <f>MAX(0,MIN(ROUND(Supuestos!$F$12*(1+AJ$53)*$N70,0),IF(Supuestos!$C$72&gt;0,Supuestos!$C$72-AJ69+MIN(AJ69,ROUND(AJ69*Supuestos!$C$71*Supuestos!$F$13,0)),ROUND(Supuestos!$F$12*(1+AJ$53)*$N70,0))))</f>
        <v>30</v>
      </c>
      <c r="AL70" s="124">
        <f t="shared" si="10"/>
        <v>570.38796255999841</v>
      </c>
      <c r="AM70" s="124">
        <f t="shared" si="11"/>
        <v>1</v>
      </c>
      <c r="AN70" s="124">
        <f>AN69+AO70-MIN(AN69,ROUND(AN69*Supuestos!$C$71*Supuestos!$F$13,0))</f>
        <v>426</v>
      </c>
      <c r="AO70" s="124">
        <f>MAX(0,MIN(ROUND(Supuestos!$F$12*(1+AN$53)*$N70,0),IF(Supuestos!$C$72&gt;0,Supuestos!$C$72-AN69+MIN(AN69,ROUND(AN69*Supuestos!$C$71*Supuestos!$F$13,0)),ROUND(Supuestos!$F$12*(1+AN$53)*$N70,0))))</f>
        <v>30</v>
      </c>
      <c r="AP70" s="124">
        <f t="shared" si="12"/>
        <v>1362.8022179199979</v>
      </c>
      <c r="AQ70" s="124">
        <f t="shared" si="13"/>
        <v>1</v>
      </c>
      <c r="AR70" s="124">
        <f>AR69+AS70-MIN(AR69,ROUND(AR69*Supuestos!$C$71*Supuestos!$F$13,0))</f>
        <v>478</v>
      </c>
      <c r="AS70" s="124">
        <f>MAX(0,MIN(ROUND(Supuestos!$F$12*(1+AR$53)*$N70,0),IF(Supuestos!$C$72&gt;0,Supuestos!$C$72-AR69+MIN(AR69,ROUND(AR69*Supuestos!$C$71*Supuestos!$F$13,0)),ROUND(Supuestos!$F$12*(1+AR$53)*$N70,0))))</f>
        <v>33</v>
      </c>
      <c r="AT70" s="124">
        <f t="shared" si="14"/>
        <v>138.04360543999792</v>
      </c>
      <c r="AU70" s="124">
        <f t="shared" si="15"/>
        <v>1</v>
      </c>
      <c r="AV70" s="124">
        <f>AV69+AW70-MIN(AV69,ROUND(AV69*Supuestos!$C$71*Supuestos!$F$13,0))</f>
        <v>478</v>
      </c>
      <c r="AW70" s="124">
        <f>MAX(0,MIN(ROUND(Supuestos!$F$12*(1+AV$53)*$N70,0),IF(Supuestos!$C$72&gt;0,Supuestos!$C$72-AV69+MIN(AV69,ROUND(AV69*Supuestos!$C$71*Supuestos!$F$13,0)),ROUND(Supuestos!$F$12*(1+AV$53)*$N70,0))))</f>
        <v>33</v>
      </c>
      <c r="AX70" s="124">
        <f t="shared" si="16"/>
        <v>1027.184483519999</v>
      </c>
      <c r="AY70" s="124">
        <f t="shared" si="17"/>
        <v>1</v>
      </c>
      <c r="AZ70" s="124">
        <f>AZ69+BA70-MIN(AZ69,ROUND(AZ69*Supuestos!$C$71*Supuestos!$F$13,0))</f>
        <v>478</v>
      </c>
      <c r="BA70" s="124">
        <f>MAX(0,MIN(ROUND(Supuestos!$F$12*(1+AZ$53)*$N70,0),IF(Supuestos!$C$72&gt;0,Supuestos!$C$72-AZ69+MIN(AZ69,ROUND(AZ69*Supuestos!$C$71*Supuestos!$F$13,0)),ROUND(Supuestos!$F$12*(1+AZ$53)*$N70,0))))</f>
        <v>33</v>
      </c>
      <c r="BB70" s="124">
        <f t="shared" si="18"/>
        <v>1916.3253616000002</v>
      </c>
      <c r="BC70" s="124">
        <f t="shared" si="19"/>
        <v>1</v>
      </c>
      <c r="BD70" s="124">
        <f>BD69+BE70-MIN(BD69,ROUND(BD69*Supuestos!$C$71*Supuestos!$F$13,0))</f>
        <v>478</v>
      </c>
      <c r="BE70" s="124">
        <f>MAX(0,MIN(ROUND(Supuestos!$F$12*(1+BD$53)*$N70,0),IF(Supuestos!$C$72&gt;0,Supuestos!$C$72-BD69+MIN(BD69,ROUND(BD69*Supuestos!$C$71*Supuestos!$F$13,0)),ROUND(Supuestos!$F$12*(1+BD$53)*$N70,0))))</f>
        <v>33</v>
      </c>
      <c r="BF70" s="124">
        <f t="shared" si="20"/>
        <v>2805.4662396799977</v>
      </c>
      <c r="BG70" s="124">
        <f t="shared" si="21"/>
        <v>1</v>
      </c>
      <c r="BH70" s="124">
        <f>BH69+BI70-MIN(BH69,ROUND(BH69*Supuestos!$C$71*Supuestos!$F$13,0))</f>
        <v>478</v>
      </c>
      <c r="BI70" s="124">
        <f>MAX(0,MIN(ROUND(Supuestos!$F$12*(1+BH$53)*$N70,0),IF(Supuestos!$C$72&gt;0,Supuestos!$C$72-BH69+MIN(BH69,ROUND(BH69*Supuestos!$C$71*Supuestos!$F$13,0)),ROUND(Supuestos!$F$12*(1+BH$53)*$N70,0))))</f>
        <v>33</v>
      </c>
      <c r="BJ70" s="124">
        <f t="shared" si="22"/>
        <v>3694.6071177599988</v>
      </c>
      <c r="BK70" s="124">
        <f t="shared" si="23"/>
        <v>1</v>
      </c>
      <c r="BL70" s="124">
        <f>BL69+BM70-MIN(BL69,ROUND(BL69*Supuestos!$C$71*Supuestos!$F$13,0))</f>
        <v>531</v>
      </c>
      <c r="BM70" s="124">
        <f>MAX(0,MIN(ROUND(Supuestos!$F$12*(1+BL$53)*$N70,0),IF(Supuestos!$C$72&gt;0,Supuestos!$C$72-BL69+MIN(BL69,ROUND(BL69*Supuestos!$C$71*Supuestos!$F$13,0)),ROUND(Supuestos!$F$12*(1+BL$53)*$N70,0))))</f>
        <v>37</v>
      </c>
      <c r="BN70" s="124">
        <f t="shared" si="24"/>
        <v>2139.4294068800009</v>
      </c>
      <c r="BO70" s="124">
        <f t="shared" si="25"/>
        <v>1</v>
      </c>
      <c r="BP70" s="124">
        <f>BP69+BQ70-MIN(BP69,ROUND(BP69*Supuestos!$C$71*Supuestos!$F$13,0))</f>
        <v>531</v>
      </c>
      <c r="BQ70" s="124">
        <f>MAX(0,MIN(ROUND(Supuestos!$F$12*(1+BP$53)*$N70,0),IF(Supuestos!$C$72&gt;0,Supuestos!$C$72-BP69+MIN(BP69,ROUND(BP69*Supuestos!$C$71*Supuestos!$F$13,0)),ROUND(Supuestos!$F$12*(1+BP$53)*$N70,0))))</f>
        <v>37</v>
      </c>
      <c r="BR70" s="124">
        <f t="shared" si="26"/>
        <v>3127.1570350399998</v>
      </c>
      <c r="BS70" s="124">
        <f t="shared" si="27"/>
        <v>1</v>
      </c>
      <c r="BT70" s="124">
        <f>BT69+BU70-MIN(BT69,ROUND(BT69*Supuestos!$C$71*Supuestos!$F$13,0))</f>
        <v>531</v>
      </c>
      <c r="BU70" s="124">
        <f>MAX(0,MIN(ROUND(Supuestos!$F$12*(1+BT$53)*$N70,0),IF(Supuestos!$C$72&gt;0,Supuestos!$C$72-BT69+MIN(BT69,ROUND(BT69*Supuestos!$C$71*Supuestos!$F$13,0)),ROUND(Supuestos!$F$12*(1+BT$53)*$N70,0))))</f>
        <v>37</v>
      </c>
      <c r="BV70" s="124">
        <f t="shared" si="28"/>
        <v>4114.8846631999986</v>
      </c>
      <c r="BW70" s="124">
        <f t="shared" si="29"/>
        <v>1</v>
      </c>
      <c r="BX70" s="124">
        <f>BX69+BY70-MIN(BX69,ROUND(BX69*Supuestos!$C$71*Supuestos!$F$13,0))</f>
        <v>531</v>
      </c>
      <c r="BY70" s="124">
        <f>MAX(0,MIN(ROUND(Supuestos!$F$12*(1+BX$53)*$N70,0),IF(Supuestos!$C$72&gt;0,Supuestos!$C$72-BX69+MIN(BX69,ROUND(BX69*Supuestos!$C$71*Supuestos!$F$13,0)),ROUND(Supuestos!$F$12*(1+BX$53)*$N70,0))))</f>
        <v>37</v>
      </c>
      <c r="BZ70" s="124">
        <f t="shared" si="30"/>
        <v>5102.6122913599975</v>
      </c>
      <c r="CA70" s="124">
        <f t="shared" si="31"/>
        <v>1</v>
      </c>
      <c r="CB70" s="124">
        <f>CB69+CC70-MIN(CB69,ROUND(CB69*Supuestos!$C$71*Supuestos!$F$13,0))</f>
        <v>531</v>
      </c>
      <c r="CC70" s="124">
        <f>MAX(0,MIN(ROUND(Supuestos!$F$12*(1+CB$53)*$N70,0),IF(Supuestos!$C$72&gt;0,Supuestos!$C$72-CB69+MIN(CB69,ROUND(CB69*Supuestos!$C$71*Supuestos!$F$13,0)),ROUND(Supuestos!$F$12*(1+CB$53)*$N70,0))))</f>
        <v>37</v>
      </c>
      <c r="CD70" s="124">
        <f t="shared" si="32"/>
        <v>6090.33991952</v>
      </c>
      <c r="CE70" s="124">
        <f t="shared" si="33"/>
        <v>1</v>
      </c>
      <c r="CF70" s="124">
        <f>CF69+CG70-MIN(CF69,ROUND(CF69*Supuestos!$C$71*Supuestos!$F$13,0))</f>
        <v>585</v>
      </c>
      <c r="CG70" s="124">
        <f>MAX(0,MIN(ROUND(Supuestos!$F$12*(1+CF$53)*$N70,0),IF(Supuestos!$C$72&gt;0,Supuestos!$C$72-CF69+MIN(CF69,ROUND(CF69*Supuestos!$C$71*Supuestos!$F$13,0)),ROUND(Supuestos!$F$12*(1+CF$53)*$N70,0))))</f>
        <v>41</v>
      </c>
      <c r="CH70" s="124">
        <f t="shared" si="34"/>
        <v>4177.0486007999971</v>
      </c>
      <c r="CI70" s="124">
        <f t="shared" si="35"/>
        <v>1</v>
      </c>
      <c r="CJ70" s="124">
        <f>CJ69+CK70-MIN(CJ69,ROUND(CJ69*Supuestos!$C$71*Supuestos!$F$13,0))</f>
        <v>585</v>
      </c>
      <c r="CK70" s="124">
        <f>MAX(0,MIN(ROUND(Supuestos!$F$12*(1+CJ$53)*$N70,0),IF(Supuestos!$C$72&gt;0,Supuestos!$C$72-CJ69+MIN(CJ69,ROUND(CJ69*Supuestos!$C$71*Supuestos!$F$13,0)),ROUND(Supuestos!$F$12*(1+CJ$53)*$N70,0))))</f>
        <v>41</v>
      </c>
      <c r="CL70" s="124">
        <f t="shared" si="36"/>
        <v>5265.2231063999971</v>
      </c>
      <c r="CM70" s="124">
        <f t="shared" si="37"/>
        <v>1</v>
      </c>
      <c r="CN70" s="124">
        <f>CN69+CO70-MIN(CN69,ROUND(CN69*Supuestos!$C$71*Supuestos!$F$13,0))</f>
        <v>585</v>
      </c>
      <c r="CO70" s="124">
        <f>MAX(0,MIN(ROUND(Supuestos!$F$12*(1+CN$53)*$N70,0),IF(Supuestos!$C$72&gt;0,Supuestos!$C$72-CN69+MIN(CN69,ROUND(CN69*Supuestos!$C$71*Supuestos!$F$13,0)),ROUND(Supuestos!$F$12*(1+CN$53)*$N70,0))))</f>
        <v>41</v>
      </c>
      <c r="CP70" s="124">
        <f t="shared" si="38"/>
        <v>6353.397611999997</v>
      </c>
      <c r="CQ70" s="124">
        <f t="shared" si="39"/>
        <v>1</v>
      </c>
      <c r="CR70" s="124">
        <f>CR69+CS70-MIN(CR69,ROUND(CR69*Supuestos!$C$71*Supuestos!$F$13,0))</f>
        <v>585</v>
      </c>
      <c r="CS70" s="124">
        <f>MAX(0,MIN(ROUND(Supuestos!$F$12*(1+CR$53)*$N70,0),IF(Supuestos!$C$72&gt;0,Supuestos!$C$72-CR69+MIN(CR69,ROUND(CR69*Supuestos!$C$71*Supuestos!$F$13,0)),ROUND(Supuestos!$F$12*(1+CR$53)*$N70,0))))</f>
        <v>41</v>
      </c>
      <c r="CT70" s="124">
        <f t="shared" si="40"/>
        <v>7441.572117599997</v>
      </c>
      <c r="CU70" s="124">
        <f t="shared" si="41"/>
        <v>1</v>
      </c>
      <c r="CV70" s="124">
        <f>CV69+CW70-MIN(CV69,ROUND(CV69*Supuestos!$C$71*Supuestos!$F$13,0))</f>
        <v>585</v>
      </c>
      <c r="CW70" s="124">
        <f>MAX(0,MIN(ROUND(Supuestos!$F$12*(1+CV$53)*$N70,0),IF(Supuestos!$C$72&gt;0,Supuestos!$C$72-CV69+MIN(CV69,ROUND(CV69*Supuestos!$C$71*Supuestos!$F$13,0)),ROUND(Supuestos!$F$12*(1+CV$53)*$N70,0))))</f>
        <v>41</v>
      </c>
      <c r="CX70" s="124">
        <f t="shared" si="42"/>
        <v>8529.746623199997</v>
      </c>
      <c r="CY70" s="124">
        <f t="shared" si="43"/>
        <v>1</v>
      </c>
      <c r="CZ70" s="124">
        <f>CZ69+DA70-MIN(CZ69,ROUND(CZ69*Supuestos!$C$71*Supuestos!$F$13,0))</f>
        <v>636</v>
      </c>
      <c r="DA70" s="124">
        <f>MAX(0,MIN(ROUND(Supuestos!$F$12*(1+CZ$53)*$N70,0),IF(Supuestos!$C$72&gt;0,Supuestos!$C$72-CZ69+MIN(CZ69,ROUND(CZ69*Supuestos!$C$71*Supuestos!$F$13,0)),ROUND(Supuestos!$F$12*(1+CZ$53)*$N70,0))))</f>
        <v>45</v>
      </c>
      <c r="DB70" s="124">
        <f t="shared" si="44"/>
        <v>6105.9676172799991</v>
      </c>
      <c r="DC70" s="124">
        <f t="shared" si="45"/>
        <v>1</v>
      </c>
      <c r="DD70" s="124">
        <f>DD69+DE70-MIN(DD69,ROUND(DD69*Supuestos!$C$71*Supuestos!$F$13,0))</f>
        <v>636</v>
      </c>
      <c r="DE70" s="124">
        <f>MAX(0,MIN(ROUND(Supuestos!$F$12*(1+DD$53)*$N70,0),IF(Supuestos!$C$72&gt;0,Supuestos!$C$72-DD69+MIN(DD69,ROUND(DD69*Supuestos!$C$71*Supuestos!$F$13,0)),ROUND(Supuestos!$F$12*(1+DD$53)*$N70,0))))</f>
        <v>45</v>
      </c>
      <c r="DF70" s="124">
        <f t="shared" si="46"/>
        <v>7289.0086182399973</v>
      </c>
      <c r="DG70" s="124">
        <f t="shared" si="47"/>
        <v>1</v>
      </c>
      <c r="DH70" s="124">
        <f>DH69+DI70-MIN(DH69,ROUND(DH69*Supuestos!$C$71*Supuestos!$F$13,0))</f>
        <v>636</v>
      </c>
      <c r="DI70" s="124">
        <f>MAX(0,MIN(ROUND(Supuestos!$F$12*(1+DH$53)*$N70,0),IF(Supuestos!$C$72&gt;0,Supuestos!$C$72-DH69+MIN(DH69,ROUND(DH69*Supuestos!$C$71*Supuestos!$F$13,0)),ROUND(Supuestos!$F$12*(1+DH$53)*$N70,0))))</f>
        <v>45</v>
      </c>
      <c r="DJ70" s="124">
        <f t="shared" si="48"/>
        <v>8472.0496191999991</v>
      </c>
      <c r="DK70" s="124">
        <f t="shared" si="49"/>
        <v>1</v>
      </c>
      <c r="DL70" s="124">
        <f>DL69+DM70-MIN(DL69,ROUND(DL69*Supuestos!$C$71*Supuestos!$F$13,0))</f>
        <v>636</v>
      </c>
      <c r="DM70" s="124">
        <f>MAX(0,MIN(ROUND(Supuestos!$F$12*(1+DL$53)*$N70,0),IF(Supuestos!$C$72&gt;0,Supuestos!$C$72-DL69+MIN(DL69,ROUND(DL69*Supuestos!$C$71*Supuestos!$F$13,0)),ROUND(Supuestos!$F$12*(1+DL$53)*$N70,0))))</f>
        <v>45</v>
      </c>
      <c r="DN70" s="124">
        <f t="shared" si="50"/>
        <v>9655.0906201599973</v>
      </c>
      <c r="DO70" s="124">
        <f t="shared" si="51"/>
        <v>1</v>
      </c>
      <c r="DP70" s="124">
        <f>DP69+DQ70-MIN(DP69,ROUND(DP69*Supuestos!$C$71*Supuestos!$F$13,0))</f>
        <v>636</v>
      </c>
      <c r="DQ70" s="124">
        <f>MAX(0,MIN(ROUND(Supuestos!$F$12*(1+DP$53)*$N70,0),IF(Supuestos!$C$72&gt;0,Supuestos!$C$72-DP69+MIN(DP69,ROUND(DP69*Supuestos!$C$71*Supuestos!$F$13,0)),ROUND(Supuestos!$F$12*(1+DP$53)*$N70,0))))</f>
        <v>45</v>
      </c>
      <c r="DR70" s="124">
        <f t="shared" si="52"/>
        <v>10838.131621119999</v>
      </c>
      <c r="DS70" s="124">
        <f t="shared" si="53"/>
        <v>1</v>
      </c>
    </row>
    <row r="71" spans="2:123" ht="13.5" customHeight="1" x14ac:dyDescent="0.2">
      <c r="B71" s="7" t="str">
        <f>"Mes 16  ·  "&amp;CHOOSE(MONTH(DATE(YEAR(Supuestos!$C$8),MONTH(Supuestos!$C$8)+(16)-1,1)),"ene","feb","mar","abr","may","jun","jul","ago","sep","oct","nov","dic")&amp;" "&amp;YEAR(DATE(YEAR(Supuestos!$C$8),MONTH(Supuestos!$C$8)+(16)-1,1))</f>
        <v>Mes 16  ·  dic 2028</v>
      </c>
      <c r="C71" s="74">
        <f>'Previsión 36 meses'!$F$52</f>
        <v>533</v>
      </c>
      <c r="D71" s="72">
        <f t="shared" si="54"/>
        <v>447</v>
      </c>
      <c r="E71" s="59">
        <f>'Previsión 36 meses'!$F$57</f>
        <v>23546.082699999992</v>
      </c>
      <c r="F71" s="59">
        <f>'Previsión 36 meses'!$F$69+'Previsión 36 meses'!$F$73</f>
        <v>19634.846742400001</v>
      </c>
      <c r="G71" s="59">
        <f>'Previsión 36 meses'!$F$74</f>
        <v>3911.2359575999903</v>
      </c>
      <c r="H71" s="59">
        <f>'Previsión 36 meses'!$F$80</f>
        <v>1584.1021834957601</v>
      </c>
      <c r="I71" s="76">
        <f>'Previsión 36 meses'!$F$81</f>
        <v>16529.081841357656</v>
      </c>
      <c r="J71" s="59">
        <f t="shared" si="3"/>
        <v>-9499.5804176000329</v>
      </c>
      <c r="M71" s="119">
        <v>16</v>
      </c>
      <c r="N71" s="123">
        <f>IF($M71&lt;=12,INDEX(Supuestos!$C$55:$C$66,$M71)+IF($M71=1,Supuestos!$C$52,0),IF($M71&lt;=24,Supuestos!$C$69,Supuestos!$C$70)*IFERROR(INDEX(Supuestos!$C$55:$C$66,MOD($M71-1,12)+1)/AVERAGE(Supuestos!$C$55:$C$66),1))</f>
        <v>23.234624145785876</v>
      </c>
      <c r="O71" s="123">
        <f>Supuestos!$C$45*Supuestos!$F$14*(1+Supuestos!$C$112)^INT(($M71-1)/12)*(1-Supuestos!$C$98)</f>
        <v>37.202547199999998</v>
      </c>
      <c r="P71" s="123">
        <f>(Supuestos!$C$48+Supuestos!$C$49)*(1+Supuestos!$C$112)^INT(($M71-1)/12)*(1-Supuestos!$C$98-Supuestos!$C$99)</f>
        <v>2.7510999999999997</v>
      </c>
      <c r="Q71" s="123">
        <f>Supuestos!$C$47*(1+Supuestos!$C$112)^INT(($M71-1)/12)*(1-Supuestos!$C$98)</f>
        <v>20.254000000000001</v>
      </c>
      <c r="R71" s="120">
        <f>'Previsión 36 meses'!$F$69</f>
        <v>17849.900000000001</v>
      </c>
      <c r="S71" s="120">
        <f t="shared" si="0"/>
        <v>16529.081841357656</v>
      </c>
      <c r="T71" s="120">
        <f t="shared" si="1"/>
        <v>0</v>
      </c>
      <c r="U71" s="22" t="str">
        <f>CHOOSE(MONTH(DATE(YEAR(Supuestos!$C$8),MONTH(Supuestos!$C$8)+(16)-1,1)),"ene","feb","mar","abr","may","jun","jul","ago","sep","oct","nov","dic")&amp;" "&amp;RIGHT(YEAR(DATE(YEAR(Supuestos!$C$8),MONTH(Supuestos!$C$8)+(16)-1,1)),2)</f>
        <v>dic 28</v>
      </c>
      <c r="V71" s="121">
        <f>IF(AND(Supuestos!$C$33&gt;0,J71&gt;=Supuestos!$C$33),1,0)</f>
        <v>0</v>
      </c>
      <c r="X71" s="124">
        <f>X70+Y71-MIN(X70,ROUND(X70*Supuestos!$C$71*Supuestos!$F$13,0))</f>
        <v>428</v>
      </c>
      <c r="Y71" s="124">
        <f>MAX(0,MIN(ROUND(Supuestos!$F$12*(1+X$53)*$N71,0),IF(Supuestos!$C$72&gt;0,Supuestos!$C$72-X70+MIN(X70,ROUND(X70*Supuestos!$C$71*Supuestos!$F$13,0)),ROUND(Supuestos!$F$12*(1+X$53)*$N71,0))))</f>
        <v>19</v>
      </c>
      <c r="Z71" s="124">
        <f t="shared" si="4"/>
        <v>-1957.1820185600009</v>
      </c>
      <c r="AA71" s="124">
        <f t="shared" si="5"/>
        <v>0</v>
      </c>
      <c r="AB71" s="124">
        <f>AB70+AC71-MIN(AB70,ROUND(AB70*Supuestos!$C$71*Supuestos!$F$13,0))</f>
        <v>428</v>
      </c>
      <c r="AC71" s="124">
        <f>MAX(0,MIN(ROUND(Supuestos!$F$12*(1+AB$53)*$N71,0),IF(Supuestos!$C$72&gt;0,Supuestos!$C$72-AB70+MIN(AB70,ROUND(AB70*Supuestos!$C$71*Supuestos!$F$13,0)),ROUND(Supuestos!$F$12*(1+AB$53)*$N71,0))))</f>
        <v>19</v>
      </c>
      <c r="AD71" s="124">
        <f t="shared" si="6"/>
        <v>-1161.0475084800019</v>
      </c>
      <c r="AE71" s="124">
        <f t="shared" si="7"/>
        <v>0</v>
      </c>
      <c r="AF71" s="124">
        <f>AF70+AG71-MIN(AF70,ROUND(AF70*Supuestos!$C$71*Supuestos!$F$13,0))</f>
        <v>428</v>
      </c>
      <c r="AG71" s="124">
        <f>MAX(0,MIN(ROUND(Supuestos!$F$12*(1+AF$53)*$N71,0),IF(Supuestos!$C$72&gt;0,Supuestos!$C$72-AF70+MIN(AF70,ROUND(AF70*Supuestos!$C$71*Supuestos!$F$13,0)),ROUND(Supuestos!$F$12*(1+AF$53)*$N71,0))))</f>
        <v>19</v>
      </c>
      <c r="AH71" s="124">
        <f t="shared" si="8"/>
        <v>-364.9129983999992</v>
      </c>
      <c r="AI71" s="124">
        <f t="shared" si="9"/>
        <v>0</v>
      </c>
      <c r="AJ71" s="124">
        <f>AJ70+AK71-MIN(AJ70,ROUND(AJ70*Supuestos!$C$71*Supuestos!$F$13,0))</f>
        <v>428</v>
      </c>
      <c r="AK71" s="124">
        <f>MAX(0,MIN(ROUND(Supuestos!$F$12*(1+AJ$53)*$N71,0),IF(Supuestos!$C$72&gt;0,Supuestos!$C$72-AJ70+MIN(AJ70,ROUND(AJ70*Supuestos!$C$71*Supuestos!$F$13,0)),ROUND(Supuestos!$F$12*(1+AJ$53)*$N71,0))))</f>
        <v>19</v>
      </c>
      <c r="AL71" s="124">
        <f t="shared" si="10"/>
        <v>431.22151167999982</v>
      </c>
      <c r="AM71" s="124">
        <f t="shared" si="11"/>
        <v>1</v>
      </c>
      <c r="AN71" s="124">
        <f>AN70+AO71-MIN(AN70,ROUND(AN70*Supuestos!$C$71*Supuestos!$F$13,0))</f>
        <v>428</v>
      </c>
      <c r="AO71" s="124">
        <f>MAX(0,MIN(ROUND(Supuestos!$F$12*(1+AN$53)*$N71,0),IF(Supuestos!$C$72&gt;0,Supuestos!$C$72-AN70+MIN(AN70,ROUND(AN70*Supuestos!$C$71*Supuestos!$F$13,0)),ROUND(Supuestos!$F$12*(1+AN$53)*$N71,0))))</f>
        <v>19</v>
      </c>
      <c r="AP71" s="124">
        <f t="shared" si="12"/>
        <v>1227.3560217599988</v>
      </c>
      <c r="AQ71" s="124">
        <f t="shared" si="13"/>
        <v>1</v>
      </c>
      <c r="AR71" s="124">
        <f>AR70+AS71-MIN(AR70,ROUND(AR70*Supuestos!$C$71*Supuestos!$F$13,0))</f>
        <v>480</v>
      </c>
      <c r="AS71" s="124">
        <f>MAX(0,MIN(ROUND(Supuestos!$F$12*(1+AR$53)*$N71,0),IF(Supuestos!$C$72&gt;0,Supuestos!$C$72-AR70+MIN(AR70,ROUND(AR70*Supuestos!$C$71*Supuestos!$F$13,0)),ROUND(Supuestos!$F$12*(1+AR$53)*$N71,0))))</f>
        <v>21</v>
      </c>
      <c r="AT71" s="124">
        <f t="shared" si="14"/>
        <v>-32.537609600003634</v>
      </c>
      <c r="AU71" s="124">
        <f t="shared" si="15"/>
        <v>0</v>
      </c>
      <c r="AV71" s="124">
        <f>AV70+AW71-MIN(AV70,ROUND(AV70*Supuestos!$C$71*Supuestos!$F$13,0))</f>
        <v>480</v>
      </c>
      <c r="AW71" s="124">
        <f>MAX(0,MIN(ROUND(Supuestos!$F$12*(1+AV$53)*$N71,0),IF(Supuestos!$C$72&gt;0,Supuestos!$C$72-AV70+MIN(AV70,ROUND(AV70*Supuestos!$C$71*Supuestos!$F$13,0)),ROUND(Supuestos!$F$12*(1+AV$53)*$N71,0))))</f>
        <v>21</v>
      </c>
      <c r="AX71" s="124">
        <f t="shared" si="16"/>
        <v>860.323523199997</v>
      </c>
      <c r="AY71" s="124">
        <f t="shared" si="17"/>
        <v>1</v>
      </c>
      <c r="AZ71" s="124">
        <f>AZ70+BA71-MIN(AZ70,ROUND(AZ70*Supuestos!$C$71*Supuestos!$F$13,0))</f>
        <v>480</v>
      </c>
      <c r="BA71" s="124">
        <f>MAX(0,MIN(ROUND(Supuestos!$F$12*(1+AZ$53)*$N71,0),IF(Supuestos!$C$72&gt;0,Supuestos!$C$72-AZ70+MIN(AZ70,ROUND(AZ70*Supuestos!$C$71*Supuestos!$F$13,0)),ROUND(Supuestos!$F$12*(1+AZ$53)*$N71,0))))</f>
        <v>21</v>
      </c>
      <c r="BB71" s="124">
        <f t="shared" si="18"/>
        <v>1753.1846559999976</v>
      </c>
      <c r="BC71" s="124">
        <f t="shared" si="19"/>
        <v>1</v>
      </c>
      <c r="BD71" s="124">
        <f>BD70+BE71-MIN(BD70,ROUND(BD70*Supuestos!$C$71*Supuestos!$F$13,0))</f>
        <v>480</v>
      </c>
      <c r="BE71" s="124">
        <f>MAX(0,MIN(ROUND(Supuestos!$F$12*(1+BD$53)*$N71,0),IF(Supuestos!$C$72&gt;0,Supuestos!$C$72-BD70+MIN(BD70,ROUND(BD70*Supuestos!$C$71*Supuestos!$F$13,0)),ROUND(Supuestos!$F$12*(1+BD$53)*$N71,0))))</f>
        <v>21</v>
      </c>
      <c r="BF71" s="124">
        <f t="shared" si="20"/>
        <v>2646.0457887999983</v>
      </c>
      <c r="BG71" s="124">
        <f t="shared" si="21"/>
        <v>1</v>
      </c>
      <c r="BH71" s="124">
        <f>BH70+BI71-MIN(BH70,ROUND(BH70*Supuestos!$C$71*Supuestos!$F$13,0))</f>
        <v>480</v>
      </c>
      <c r="BI71" s="124">
        <f>MAX(0,MIN(ROUND(Supuestos!$F$12*(1+BH$53)*$N71,0),IF(Supuestos!$C$72&gt;0,Supuestos!$C$72-BH70+MIN(BH70,ROUND(BH70*Supuestos!$C$71*Supuestos!$F$13,0)),ROUND(Supuestos!$F$12*(1+BH$53)*$N71,0))))</f>
        <v>21</v>
      </c>
      <c r="BJ71" s="124">
        <f t="shared" si="22"/>
        <v>3538.9069215999953</v>
      </c>
      <c r="BK71" s="124">
        <f t="shared" si="23"/>
        <v>1</v>
      </c>
      <c r="BL71" s="124">
        <f>BL70+BM71-MIN(BL70,ROUND(BL70*Supuestos!$C$71*Supuestos!$F$13,0))</f>
        <v>533</v>
      </c>
      <c r="BM71" s="124">
        <f>MAX(0,MIN(ROUND(Supuestos!$F$12*(1+BL$53)*$N71,0),IF(Supuestos!$C$72&gt;0,Supuestos!$C$72-BL70+MIN(BL70,ROUND(BL70*Supuestos!$C$71*Supuestos!$F$13,0)),ROUND(Supuestos!$F$12*(1+BL$53)*$N71,0))))</f>
        <v>23</v>
      </c>
      <c r="BN71" s="124">
        <f t="shared" si="24"/>
        <v>1928.3401918399977</v>
      </c>
      <c r="BO71" s="124">
        <f t="shared" si="25"/>
        <v>1</v>
      </c>
      <c r="BP71" s="124">
        <f>BP70+BQ71-MIN(BP70,ROUND(BP70*Supuestos!$C$71*Supuestos!$F$13,0))</f>
        <v>533</v>
      </c>
      <c r="BQ71" s="124">
        <f>MAX(0,MIN(ROUND(Supuestos!$F$12*(1+BP$53)*$N71,0),IF(Supuestos!$C$72&gt;0,Supuestos!$C$72-BP70+MIN(BP70,ROUND(BP70*Supuestos!$C$71*Supuestos!$F$13,0)),ROUND(Supuestos!$F$12*(1+BP$53)*$N71,0))))</f>
        <v>23</v>
      </c>
      <c r="BR71" s="124">
        <f t="shared" si="26"/>
        <v>2919.7880747199997</v>
      </c>
      <c r="BS71" s="124">
        <f t="shared" si="27"/>
        <v>1</v>
      </c>
      <c r="BT71" s="124">
        <f>BT70+BU71-MIN(BT70,ROUND(BT70*Supuestos!$C$71*Supuestos!$F$13,0))</f>
        <v>533</v>
      </c>
      <c r="BU71" s="124">
        <f>MAX(0,MIN(ROUND(Supuestos!$F$12*(1+BT$53)*$N71,0),IF(Supuestos!$C$72&gt;0,Supuestos!$C$72-BT70+MIN(BT70,ROUND(BT70*Supuestos!$C$71*Supuestos!$F$13,0)),ROUND(Supuestos!$F$12*(1+BT$53)*$N71,0))))</f>
        <v>23</v>
      </c>
      <c r="BV71" s="124">
        <f t="shared" si="28"/>
        <v>3911.2359575999981</v>
      </c>
      <c r="BW71" s="124">
        <f t="shared" si="29"/>
        <v>1</v>
      </c>
      <c r="BX71" s="124">
        <f>BX70+BY71-MIN(BX70,ROUND(BX70*Supuestos!$C$71*Supuestos!$F$13,0))</f>
        <v>533</v>
      </c>
      <c r="BY71" s="124">
        <f>MAX(0,MIN(ROUND(Supuestos!$F$12*(1+BX$53)*$N71,0),IF(Supuestos!$C$72&gt;0,Supuestos!$C$72-BX70+MIN(BX70,ROUND(BX70*Supuestos!$C$71*Supuestos!$F$13,0)),ROUND(Supuestos!$F$12*(1+BX$53)*$N71,0))))</f>
        <v>23</v>
      </c>
      <c r="BZ71" s="124">
        <f t="shared" si="30"/>
        <v>4902.6838404800001</v>
      </c>
      <c r="CA71" s="124">
        <f t="shared" si="31"/>
        <v>1</v>
      </c>
      <c r="CB71" s="124">
        <f>CB70+CC71-MIN(CB70,ROUND(CB70*Supuestos!$C$71*Supuestos!$F$13,0))</f>
        <v>533</v>
      </c>
      <c r="CC71" s="124">
        <f>MAX(0,MIN(ROUND(Supuestos!$F$12*(1+CB$53)*$N71,0),IF(Supuestos!$C$72&gt;0,Supuestos!$C$72-CB70+MIN(CB70,ROUND(CB70*Supuestos!$C$71*Supuestos!$F$13,0)),ROUND(Supuestos!$F$12*(1+CB$53)*$N71,0))))</f>
        <v>23</v>
      </c>
      <c r="CD71" s="124">
        <f t="shared" si="32"/>
        <v>5894.1317233599984</v>
      </c>
      <c r="CE71" s="124">
        <f t="shared" si="33"/>
        <v>1</v>
      </c>
      <c r="CF71" s="124">
        <f>CF70+CG71-MIN(CF70,ROUND(CF70*Supuestos!$C$71*Supuestos!$F$13,0))</f>
        <v>588</v>
      </c>
      <c r="CG71" s="124">
        <f>MAX(0,MIN(ROUND(Supuestos!$F$12*(1+CF$53)*$N71,0),IF(Supuestos!$C$72&gt;0,Supuestos!$C$72-CF70+MIN(CF70,ROUND(CF70*Supuestos!$C$71*Supuestos!$F$13,0)),ROUND(Supuestos!$F$12*(1+CF$53)*$N71,0))))</f>
        <v>26</v>
      </c>
      <c r="CH71" s="124">
        <f t="shared" si="34"/>
        <v>3981.9387782399972</v>
      </c>
      <c r="CI71" s="124">
        <f t="shared" si="35"/>
        <v>1</v>
      </c>
      <c r="CJ71" s="124">
        <f>CJ70+CK71-MIN(CJ70,ROUND(CJ70*Supuestos!$C$71*Supuestos!$F$13,0))</f>
        <v>588</v>
      </c>
      <c r="CK71" s="124">
        <f>MAX(0,MIN(ROUND(Supuestos!$F$12*(1+CJ$53)*$N71,0),IF(Supuestos!$C$72&gt;0,Supuestos!$C$72-CJ70+MIN(CJ70,ROUND(CJ70*Supuestos!$C$71*Supuestos!$F$13,0)),ROUND(Supuestos!$F$12*(1+CJ$53)*$N71,0))))</f>
        <v>26</v>
      </c>
      <c r="CL71" s="124">
        <f t="shared" si="36"/>
        <v>5075.6936659199964</v>
      </c>
      <c r="CM71" s="124">
        <f t="shared" si="37"/>
        <v>1</v>
      </c>
      <c r="CN71" s="124">
        <f>CN70+CO71-MIN(CN70,ROUND(CN70*Supuestos!$C$71*Supuestos!$F$13,0))</f>
        <v>588</v>
      </c>
      <c r="CO71" s="124">
        <f>MAX(0,MIN(ROUND(Supuestos!$F$12*(1+CN$53)*$N71,0),IF(Supuestos!$C$72&gt;0,Supuestos!$C$72-CN70+MIN(CN70,ROUND(CN70*Supuestos!$C$71*Supuestos!$F$13,0)),ROUND(Supuestos!$F$12*(1+CN$53)*$N71,0))))</f>
        <v>26</v>
      </c>
      <c r="CP71" s="124">
        <f t="shared" si="38"/>
        <v>6169.4485535999956</v>
      </c>
      <c r="CQ71" s="124">
        <f t="shared" si="39"/>
        <v>1</v>
      </c>
      <c r="CR71" s="124">
        <f>CR70+CS71-MIN(CR70,ROUND(CR70*Supuestos!$C$71*Supuestos!$F$13,0))</f>
        <v>588</v>
      </c>
      <c r="CS71" s="124">
        <f>MAX(0,MIN(ROUND(Supuestos!$F$12*(1+CR$53)*$N71,0),IF(Supuestos!$C$72&gt;0,Supuestos!$C$72-CR70+MIN(CR70,ROUND(CR70*Supuestos!$C$71*Supuestos!$F$13,0)),ROUND(Supuestos!$F$12*(1+CR$53)*$N71,0))))</f>
        <v>26</v>
      </c>
      <c r="CT71" s="124">
        <f t="shared" si="40"/>
        <v>7263.2034412799985</v>
      </c>
      <c r="CU71" s="124">
        <f t="shared" si="41"/>
        <v>1</v>
      </c>
      <c r="CV71" s="124">
        <f>CV70+CW71-MIN(CV70,ROUND(CV70*Supuestos!$C$71*Supuestos!$F$13,0))</f>
        <v>588</v>
      </c>
      <c r="CW71" s="124">
        <f>MAX(0,MIN(ROUND(Supuestos!$F$12*(1+CV$53)*$N71,0),IF(Supuestos!$C$72&gt;0,Supuestos!$C$72-CV70+MIN(CV70,ROUND(CV70*Supuestos!$C$71*Supuestos!$F$13,0)),ROUND(Supuestos!$F$12*(1+CV$53)*$N71,0))))</f>
        <v>26</v>
      </c>
      <c r="CX71" s="124">
        <f t="shared" si="42"/>
        <v>8356.9583289599977</v>
      </c>
      <c r="CY71" s="124">
        <f t="shared" si="43"/>
        <v>1</v>
      </c>
      <c r="CZ71" s="124">
        <f>CZ70+DA71-MIN(CZ70,ROUND(CZ70*Supuestos!$C$71*Supuestos!$F$13,0))</f>
        <v>639</v>
      </c>
      <c r="DA71" s="124">
        <f>MAX(0,MIN(ROUND(Supuestos!$F$12*(1+CZ$53)*$N71,0),IF(Supuestos!$C$72&gt;0,Supuestos!$C$72-CZ70+MIN(CZ70,ROUND(CZ70*Supuestos!$C$71*Supuestos!$F$13,0)),ROUND(Supuestos!$F$12*(1+CZ$53)*$N71,0))))</f>
        <v>28</v>
      </c>
      <c r="DB71" s="124">
        <f t="shared" si="44"/>
        <v>5870.3497947199976</v>
      </c>
      <c r="DC71" s="124">
        <f t="shared" si="45"/>
        <v>1</v>
      </c>
      <c r="DD71" s="124">
        <f>DD70+DE71-MIN(DD70,ROUND(DD70*Supuestos!$C$71*Supuestos!$F$13,0))</f>
        <v>639</v>
      </c>
      <c r="DE71" s="124">
        <f>MAX(0,MIN(ROUND(Supuestos!$F$12*(1+DD$53)*$N71,0),IF(Supuestos!$C$72&gt;0,Supuestos!$C$72-DD70+MIN(DD70,ROUND(DD70*Supuestos!$C$71*Supuestos!$F$13,0)),ROUND(Supuestos!$F$12*(1+DD$53)*$N71,0))))</f>
        <v>28</v>
      </c>
      <c r="DF71" s="124">
        <f t="shared" si="46"/>
        <v>7058.9711777599987</v>
      </c>
      <c r="DG71" s="124">
        <f t="shared" si="47"/>
        <v>1</v>
      </c>
      <c r="DH71" s="124">
        <f>DH70+DI71-MIN(DH70,ROUND(DH70*Supuestos!$C$71*Supuestos!$F$13,0))</f>
        <v>639</v>
      </c>
      <c r="DI71" s="124">
        <f>MAX(0,MIN(ROUND(Supuestos!$F$12*(1+DH$53)*$N71,0),IF(Supuestos!$C$72&gt;0,Supuestos!$C$72-DH70+MIN(DH70,ROUND(DH70*Supuestos!$C$71*Supuestos!$F$13,0)),ROUND(Supuestos!$F$12*(1+DH$53)*$N71,0))))</f>
        <v>28</v>
      </c>
      <c r="DJ71" s="124">
        <f t="shared" si="48"/>
        <v>8247.5925607999998</v>
      </c>
      <c r="DK71" s="124">
        <f t="shared" si="49"/>
        <v>1</v>
      </c>
      <c r="DL71" s="124">
        <f>DL70+DM71-MIN(DL70,ROUND(DL70*Supuestos!$C$71*Supuestos!$F$13,0))</f>
        <v>639</v>
      </c>
      <c r="DM71" s="124">
        <f>MAX(0,MIN(ROUND(Supuestos!$F$12*(1+DL$53)*$N71,0),IF(Supuestos!$C$72&gt;0,Supuestos!$C$72-DL70+MIN(DL70,ROUND(DL70*Supuestos!$C$71*Supuestos!$F$13,0)),ROUND(Supuestos!$F$12*(1+DL$53)*$N71,0))))</f>
        <v>28</v>
      </c>
      <c r="DN71" s="124">
        <f t="shared" si="50"/>
        <v>9436.2139438399972</v>
      </c>
      <c r="DO71" s="124">
        <f t="shared" si="51"/>
        <v>1</v>
      </c>
      <c r="DP71" s="124">
        <f>DP70+DQ71-MIN(DP70,ROUND(DP70*Supuestos!$C$71*Supuestos!$F$13,0))</f>
        <v>639</v>
      </c>
      <c r="DQ71" s="124">
        <f>MAX(0,MIN(ROUND(Supuestos!$F$12*(1+DP$53)*$N71,0),IF(Supuestos!$C$72&gt;0,Supuestos!$C$72-DP70+MIN(DP70,ROUND(DP70*Supuestos!$C$71*Supuestos!$F$13,0)),ROUND(Supuestos!$F$12*(1+DP$53)*$N71,0))))</f>
        <v>28</v>
      </c>
      <c r="DR71" s="124">
        <f t="shared" si="52"/>
        <v>10624.835326879998</v>
      </c>
      <c r="DS71" s="124">
        <f t="shared" si="53"/>
        <v>1</v>
      </c>
    </row>
    <row r="72" spans="2:123" ht="13.5" customHeight="1" x14ac:dyDescent="0.2">
      <c r="B72" s="7" t="str">
        <f>"Mes 17  ·  "&amp;CHOOSE(MONTH(DATE(YEAR(Supuestos!$C$8),MONTH(Supuestos!$C$8)+(17)-1,1)),"ene","feb","mar","abr","may","jun","jul","ago","sep","oct","nov","dic")&amp;" "&amp;YEAR(DATE(YEAR(Supuestos!$C$8),MONTH(Supuestos!$C$8)+(17)-1,1))</f>
        <v>Mes 17  ·  ene 2029</v>
      </c>
      <c r="C72" s="74">
        <f>'Previsión 36 meses'!$G$52</f>
        <v>568</v>
      </c>
      <c r="D72" s="72">
        <f t="shared" si="54"/>
        <v>447</v>
      </c>
      <c r="E72" s="59">
        <f>'Previsión 36 meses'!$G$57</f>
        <v>25737.799199999994</v>
      </c>
      <c r="F72" s="59">
        <f>'Previsión 36 meses'!$G$69+'Previsión 36 meses'!$G$73</f>
        <v>19759.803590400003</v>
      </c>
      <c r="G72" s="59">
        <f>'Previsión 36 meses'!$G$74</f>
        <v>5977.9956095999933</v>
      </c>
      <c r="H72" s="59">
        <f>'Previsión 36 meses'!$G$80</f>
        <v>3650.861835495763</v>
      </c>
      <c r="I72" s="76">
        <f>'Previsión 36 meses'!$G$81</f>
        <v>20179.943676853418</v>
      </c>
      <c r="J72" s="59">
        <f t="shared" si="3"/>
        <v>-3521.5848080000396</v>
      </c>
      <c r="M72" s="119">
        <v>17</v>
      </c>
      <c r="N72" s="123">
        <f>IF($M72&lt;=12,INDEX(Supuestos!$C$55:$C$66,$M72)+IF($M72=1,Supuestos!$C$52,0),IF($M72&lt;=24,Supuestos!$C$69,Supuestos!$C$70)*IFERROR(INDEX(Supuestos!$C$55:$C$66,MOD($M72-1,12)+1)/AVERAGE(Supuestos!$C$55:$C$66),1))</f>
        <v>55.763097949886102</v>
      </c>
      <c r="O72" s="123">
        <f>Supuestos!$C$45*Supuestos!$F$14*(1+Supuestos!$C$112)^INT(($M72-1)/12)*(1-Supuestos!$C$98)</f>
        <v>37.202547199999998</v>
      </c>
      <c r="P72" s="123">
        <f>(Supuestos!$C$48+Supuestos!$C$49)*(1+Supuestos!$C$112)^INT(($M72-1)/12)*(1-Supuestos!$C$98-Supuestos!$C$99)</f>
        <v>2.7510999999999997</v>
      </c>
      <c r="Q72" s="123">
        <f>Supuestos!$C$47*(1+Supuestos!$C$112)^INT(($M72-1)/12)*(1-Supuestos!$C$98)</f>
        <v>20.254000000000001</v>
      </c>
      <c r="R72" s="120">
        <f>'Previsión 36 meses'!$G$69</f>
        <v>17849.900000000001</v>
      </c>
      <c r="S72" s="120">
        <f t="shared" si="0"/>
        <v>20179.943676853418</v>
      </c>
      <c r="T72" s="120">
        <f t="shared" si="1"/>
        <v>0</v>
      </c>
      <c r="U72" s="22" t="str">
        <f>CHOOSE(MONTH(DATE(YEAR(Supuestos!$C$8),MONTH(Supuestos!$C$8)+(17)-1,1)),"ene","feb","mar","abr","may","jun","jul","ago","sep","oct","nov","dic")&amp;" "&amp;RIGHT(YEAR(DATE(YEAR(Supuestos!$C$8),MONTH(Supuestos!$C$8)+(17)-1,1)),2)</f>
        <v>ene 29</v>
      </c>
      <c r="V72" s="121">
        <f>IF(AND(Supuestos!$C$33&gt;0,J72&gt;=Supuestos!$C$33),1,0)</f>
        <v>0</v>
      </c>
      <c r="X72" s="124">
        <f>X71+Y72-MIN(X71,ROUND(X71*Supuestos!$C$71*Supuestos!$F$13,0))</f>
        <v>456</v>
      </c>
      <c r="Y72" s="124">
        <f>MAX(0,MIN(ROUND(Supuestos!$F$12*(1+X$53)*$N72,0),IF(Supuestos!$C$72&gt;0,Supuestos!$C$72-X71+MIN(X71,ROUND(X71*Supuestos!$C$71*Supuestos!$F$13,0)),ROUND(Supuestos!$F$12*(1+X$53)*$N72,0))))</f>
        <v>45</v>
      </c>
      <c r="Z72" s="124">
        <f t="shared" si="4"/>
        <v>-416.04302912000276</v>
      </c>
      <c r="AA72" s="124">
        <f t="shared" si="5"/>
        <v>0</v>
      </c>
      <c r="AB72" s="124">
        <f>AB71+AC72-MIN(AB71,ROUND(AB71*Supuestos!$C$71*Supuestos!$F$13,0))</f>
        <v>456</v>
      </c>
      <c r="AC72" s="124">
        <f>MAX(0,MIN(ROUND(Supuestos!$F$12*(1+AB$53)*$N72,0),IF(Supuestos!$C$72&gt;0,Supuestos!$C$72-AB71+MIN(AB71,ROUND(AB71*Supuestos!$C$71*Supuestos!$F$13,0)),ROUND(Supuestos!$F$12*(1+AB$53)*$N72,0))))</f>
        <v>45</v>
      </c>
      <c r="AD72" s="124">
        <f t="shared" si="6"/>
        <v>432.17504704000021</v>
      </c>
      <c r="AE72" s="124">
        <f t="shared" si="7"/>
        <v>1</v>
      </c>
      <c r="AF72" s="124">
        <f>AF71+AG72-MIN(AF71,ROUND(AF71*Supuestos!$C$71*Supuestos!$F$13,0))</f>
        <v>456</v>
      </c>
      <c r="AG72" s="124">
        <f>MAX(0,MIN(ROUND(Supuestos!$F$12*(1+AF$53)*$N72,0),IF(Supuestos!$C$72&gt;0,Supuestos!$C$72-AF71+MIN(AF71,ROUND(AF71*Supuestos!$C$71*Supuestos!$F$13,0)),ROUND(Supuestos!$F$12*(1+AF$53)*$N72,0))))</f>
        <v>45</v>
      </c>
      <c r="AH72" s="124">
        <f t="shared" si="8"/>
        <v>1280.3931231999995</v>
      </c>
      <c r="AI72" s="124">
        <f t="shared" si="9"/>
        <v>1</v>
      </c>
      <c r="AJ72" s="124">
        <f>AJ71+AK72-MIN(AJ71,ROUND(AJ71*Supuestos!$C$71*Supuestos!$F$13,0))</f>
        <v>456</v>
      </c>
      <c r="AK72" s="124">
        <f>MAX(0,MIN(ROUND(Supuestos!$F$12*(1+AJ$53)*$N72,0),IF(Supuestos!$C$72&gt;0,Supuestos!$C$72-AJ71+MIN(AJ71,ROUND(AJ71*Supuestos!$C$71*Supuestos!$F$13,0)),ROUND(Supuestos!$F$12*(1+AJ$53)*$N72,0))))</f>
        <v>45</v>
      </c>
      <c r="AL72" s="124">
        <f t="shared" si="10"/>
        <v>2128.6111993599989</v>
      </c>
      <c r="AM72" s="124">
        <f t="shared" si="11"/>
        <v>1</v>
      </c>
      <c r="AN72" s="124">
        <f>AN71+AO72-MIN(AN71,ROUND(AN71*Supuestos!$C$71*Supuestos!$F$13,0))</f>
        <v>456</v>
      </c>
      <c r="AO72" s="124">
        <f>MAX(0,MIN(ROUND(Supuestos!$F$12*(1+AN$53)*$N72,0),IF(Supuestos!$C$72&gt;0,Supuestos!$C$72-AN71+MIN(AN71,ROUND(AN71*Supuestos!$C$71*Supuestos!$F$13,0)),ROUND(Supuestos!$F$12*(1+AN$53)*$N72,0))))</f>
        <v>45</v>
      </c>
      <c r="AP72" s="124">
        <f t="shared" si="12"/>
        <v>2976.8292755199982</v>
      </c>
      <c r="AQ72" s="124">
        <f t="shared" si="13"/>
        <v>1</v>
      </c>
      <c r="AR72" s="124">
        <f>AR71+AS72-MIN(AR71,ROUND(AR71*Supuestos!$C$71*Supuestos!$F$13,0))</f>
        <v>511</v>
      </c>
      <c r="AS72" s="124">
        <f>MAX(0,MIN(ROUND(Supuestos!$F$12*(1+AR$53)*$N72,0),IF(Supuestos!$C$72&gt;0,Supuestos!$C$72-AR71+MIN(AR71,ROUND(AR71*Supuestos!$C$71*Supuestos!$F$13,0)),ROUND(Supuestos!$F$12*(1+AR$53)*$N72,0))))</f>
        <v>50</v>
      </c>
      <c r="AT72" s="124">
        <f t="shared" si="14"/>
        <v>1678.0635572799983</v>
      </c>
      <c r="AU72" s="124">
        <f t="shared" si="15"/>
        <v>1</v>
      </c>
      <c r="AV72" s="124">
        <f>AV71+AW72-MIN(AV71,ROUND(AV71*Supuestos!$C$71*Supuestos!$F$13,0))</f>
        <v>511</v>
      </c>
      <c r="AW72" s="124">
        <f>MAX(0,MIN(ROUND(Supuestos!$F$12*(1+AV$53)*$N72,0),IF(Supuestos!$C$72&gt;0,Supuestos!$C$72-AV71+MIN(AV71,ROUND(AV71*Supuestos!$C$71*Supuestos!$F$13,0)),ROUND(Supuestos!$F$12*(1+AV$53)*$N72,0))))</f>
        <v>50</v>
      </c>
      <c r="AX72" s="124">
        <f t="shared" si="16"/>
        <v>2628.5886382399985</v>
      </c>
      <c r="AY72" s="124">
        <f t="shared" si="17"/>
        <v>1</v>
      </c>
      <c r="AZ72" s="124">
        <f>AZ71+BA72-MIN(AZ71,ROUND(AZ71*Supuestos!$C$71*Supuestos!$F$13,0))</f>
        <v>511</v>
      </c>
      <c r="BA72" s="124">
        <f>MAX(0,MIN(ROUND(Supuestos!$F$12*(1+AZ$53)*$N72,0),IF(Supuestos!$C$72&gt;0,Supuestos!$C$72-AZ71+MIN(AZ71,ROUND(AZ71*Supuestos!$C$71*Supuestos!$F$13,0)),ROUND(Supuestos!$F$12*(1+AZ$53)*$N72,0))))</f>
        <v>50</v>
      </c>
      <c r="BB72" s="124">
        <f t="shared" si="18"/>
        <v>3579.1137191999987</v>
      </c>
      <c r="BC72" s="124">
        <f t="shared" si="19"/>
        <v>1</v>
      </c>
      <c r="BD72" s="124">
        <f>BD71+BE72-MIN(BD71,ROUND(BD71*Supuestos!$C$71*Supuestos!$F$13,0))</f>
        <v>511</v>
      </c>
      <c r="BE72" s="124">
        <f>MAX(0,MIN(ROUND(Supuestos!$F$12*(1+BD$53)*$N72,0),IF(Supuestos!$C$72&gt;0,Supuestos!$C$72-BD71+MIN(BD71,ROUND(BD71*Supuestos!$C$71*Supuestos!$F$13,0)),ROUND(Supuestos!$F$12*(1+BD$53)*$N72,0))))</f>
        <v>50</v>
      </c>
      <c r="BF72" s="124">
        <f t="shared" si="20"/>
        <v>4529.6388001599989</v>
      </c>
      <c r="BG72" s="124">
        <f t="shared" si="21"/>
        <v>1</v>
      </c>
      <c r="BH72" s="124">
        <f>BH71+BI72-MIN(BH71,ROUND(BH71*Supuestos!$C$71*Supuestos!$F$13,0))</f>
        <v>511</v>
      </c>
      <c r="BI72" s="124">
        <f>MAX(0,MIN(ROUND(Supuestos!$F$12*(1+BH$53)*$N72,0),IF(Supuestos!$C$72&gt;0,Supuestos!$C$72-BH71+MIN(BH71,ROUND(BH71*Supuestos!$C$71*Supuestos!$F$13,0)),ROUND(Supuestos!$F$12*(1+BH$53)*$N72,0))))</f>
        <v>50</v>
      </c>
      <c r="BJ72" s="124">
        <f t="shared" si="22"/>
        <v>5480.1638811199991</v>
      </c>
      <c r="BK72" s="124">
        <f t="shared" si="23"/>
        <v>1</v>
      </c>
      <c r="BL72" s="124">
        <f>BL71+BM72-MIN(BL71,ROUND(BL71*Supuestos!$C$71*Supuestos!$F$13,0))</f>
        <v>568</v>
      </c>
      <c r="BM72" s="124">
        <f>MAX(0,MIN(ROUND(Supuestos!$F$12*(1+BL$53)*$N72,0),IF(Supuestos!$C$72&gt;0,Supuestos!$C$72-BL71+MIN(BL71,ROUND(BL71*Supuestos!$C$71*Supuestos!$F$13,0)),ROUND(Supuestos!$F$12*(1+BL$53)*$N72,0))))</f>
        <v>56</v>
      </c>
      <c r="BN72" s="124">
        <f t="shared" si="24"/>
        <v>3864.8909286400012</v>
      </c>
      <c r="BO72" s="124">
        <f t="shared" si="25"/>
        <v>1</v>
      </c>
      <c r="BP72" s="124">
        <f>BP71+BQ72-MIN(BP71,ROUND(BP71*Supuestos!$C$71*Supuestos!$F$13,0))</f>
        <v>568</v>
      </c>
      <c r="BQ72" s="124">
        <f>MAX(0,MIN(ROUND(Supuestos!$F$12*(1+BP$53)*$N72,0),IF(Supuestos!$C$72&gt;0,Supuestos!$C$72-BP71+MIN(BP71,ROUND(BP71*Supuestos!$C$71*Supuestos!$F$13,0)),ROUND(Supuestos!$F$12*(1+BP$53)*$N72,0))))</f>
        <v>56</v>
      </c>
      <c r="BR72" s="124">
        <f t="shared" si="26"/>
        <v>4921.4432691199981</v>
      </c>
      <c r="BS72" s="124">
        <f t="shared" si="27"/>
        <v>1</v>
      </c>
      <c r="BT72" s="124">
        <f>BT71+BU72-MIN(BT71,ROUND(BT71*Supuestos!$C$71*Supuestos!$F$13,0))</f>
        <v>568</v>
      </c>
      <c r="BU72" s="124">
        <f>MAX(0,MIN(ROUND(Supuestos!$F$12*(1+BT$53)*$N72,0),IF(Supuestos!$C$72&gt;0,Supuestos!$C$72-BT71+MIN(BT71,ROUND(BT71*Supuestos!$C$71*Supuestos!$F$13,0)),ROUND(Supuestos!$F$12*(1+BT$53)*$N72,0))))</f>
        <v>56</v>
      </c>
      <c r="BV72" s="124">
        <f t="shared" si="28"/>
        <v>5977.9956095999951</v>
      </c>
      <c r="BW72" s="124">
        <f t="shared" si="29"/>
        <v>1</v>
      </c>
      <c r="BX72" s="124">
        <f>BX71+BY72-MIN(BX71,ROUND(BX71*Supuestos!$C$71*Supuestos!$F$13,0))</f>
        <v>568</v>
      </c>
      <c r="BY72" s="124">
        <f>MAX(0,MIN(ROUND(Supuestos!$F$12*(1+BX$53)*$N72,0),IF(Supuestos!$C$72&gt;0,Supuestos!$C$72-BX71+MIN(BX71,ROUND(BX71*Supuestos!$C$71*Supuestos!$F$13,0)),ROUND(Supuestos!$F$12*(1+BX$53)*$N72,0))))</f>
        <v>56</v>
      </c>
      <c r="BZ72" s="124">
        <f t="shared" si="30"/>
        <v>7034.5479500799993</v>
      </c>
      <c r="CA72" s="124">
        <f t="shared" si="31"/>
        <v>1</v>
      </c>
      <c r="CB72" s="124">
        <f>CB71+CC72-MIN(CB71,ROUND(CB71*Supuestos!$C$71*Supuestos!$F$13,0))</f>
        <v>568</v>
      </c>
      <c r="CC72" s="124">
        <f>MAX(0,MIN(ROUND(Supuestos!$F$12*(1+CB$53)*$N72,0),IF(Supuestos!$C$72&gt;0,Supuestos!$C$72-CB71+MIN(CB71,ROUND(CB71*Supuestos!$C$71*Supuestos!$F$13,0)),ROUND(Supuestos!$F$12*(1+CB$53)*$N72,0))))</f>
        <v>56</v>
      </c>
      <c r="CD72" s="124">
        <f t="shared" si="32"/>
        <v>8091.1002905599962</v>
      </c>
      <c r="CE72" s="124">
        <f t="shared" si="33"/>
        <v>1</v>
      </c>
      <c r="CF72" s="124">
        <f>CF71+CG72-MIN(CF71,ROUND(CF71*Supuestos!$C$71*Supuestos!$F$13,0))</f>
        <v>625</v>
      </c>
      <c r="CG72" s="124">
        <f>MAX(0,MIN(ROUND(Supuestos!$F$12*(1+CF$53)*$N72,0),IF(Supuestos!$C$72&gt;0,Supuestos!$C$72-CF71+MIN(CF71,ROUND(CF71*Supuestos!$C$71*Supuestos!$F$13,0)),ROUND(Supuestos!$F$12*(1+CF$53)*$N72,0))))</f>
        <v>61</v>
      </c>
      <c r="CH72" s="124">
        <f t="shared" si="34"/>
        <v>6031.464299999996</v>
      </c>
      <c r="CI72" s="124">
        <f t="shared" si="35"/>
        <v>1</v>
      </c>
      <c r="CJ72" s="124">
        <f>CJ71+CK72-MIN(CJ71,ROUND(CJ71*Supuestos!$C$71*Supuestos!$F$13,0))</f>
        <v>625</v>
      </c>
      <c r="CK72" s="124">
        <f>MAX(0,MIN(ROUND(Supuestos!$F$12*(1+CJ$53)*$N72,0),IF(Supuestos!$C$72&gt;0,Supuestos!$C$72-CJ71+MIN(CJ71,ROUND(CJ71*Supuestos!$C$71*Supuestos!$F$13,0)),ROUND(Supuestos!$F$12*(1+CJ$53)*$N72,0))))</f>
        <v>61</v>
      </c>
      <c r="CL72" s="124">
        <f t="shared" si="36"/>
        <v>7194.0438999999969</v>
      </c>
      <c r="CM72" s="124">
        <f t="shared" si="37"/>
        <v>1</v>
      </c>
      <c r="CN72" s="124">
        <f>CN71+CO72-MIN(CN71,ROUND(CN71*Supuestos!$C$71*Supuestos!$F$13,0))</f>
        <v>625</v>
      </c>
      <c r="CO72" s="124">
        <f>MAX(0,MIN(ROUND(Supuestos!$F$12*(1+CN$53)*$N72,0),IF(Supuestos!$C$72&gt;0,Supuestos!$C$72-CN71+MIN(CN71,ROUND(CN71*Supuestos!$C$71*Supuestos!$F$13,0)),ROUND(Supuestos!$F$12*(1+CN$53)*$N72,0))))</f>
        <v>61</v>
      </c>
      <c r="CP72" s="124">
        <f t="shared" si="38"/>
        <v>8356.6234999999979</v>
      </c>
      <c r="CQ72" s="124">
        <f t="shared" si="39"/>
        <v>1</v>
      </c>
      <c r="CR72" s="124">
        <f>CR71+CS72-MIN(CR71,ROUND(CR71*Supuestos!$C$71*Supuestos!$F$13,0))</f>
        <v>625</v>
      </c>
      <c r="CS72" s="124">
        <f>MAX(0,MIN(ROUND(Supuestos!$F$12*(1+CR$53)*$N72,0),IF(Supuestos!$C$72&gt;0,Supuestos!$C$72-CR71+MIN(CR71,ROUND(CR71*Supuestos!$C$71*Supuestos!$F$13,0)),ROUND(Supuestos!$F$12*(1+CR$53)*$N72,0))))</f>
        <v>61</v>
      </c>
      <c r="CT72" s="124">
        <f t="shared" si="40"/>
        <v>9519.2030999999952</v>
      </c>
      <c r="CU72" s="124">
        <f t="shared" si="41"/>
        <v>1</v>
      </c>
      <c r="CV72" s="124">
        <f>CV71+CW72-MIN(CV71,ROUND(CV71*Supuestos!$C$71*Supuestos!$F$13,0))</f>
        <v>625</v>
      </c>
      <c r="CW72" s="124">
        <f>MAX(0,MIN(ROUND(Supuestos!$F$12*(1+CV$53)*$N72,0),IF(Supuestos!$C$72&gt;0,Supuestos!$C$72-CV71+MIN(CV71,ROUND(CV71*Supuestos!$C$71*Supuestos!$F$13,0)),ROUND(Supuestos!$F$12*(1+CV$53)*$N72,0))))</f>
        <v>61</v>
      </c>
      <c r="CX72" s="124">
        <f t="shared" si="42"/>
        <v>10681.782699999996</v>
      </c>
      <c r="CY72" s="124">
        <f t="shared" si="43"/>
        <v>1</v>
      </c>
      <c r="CZ72" s="124">
        <f>CZ71+DA72-MIN(CZ71,ROUND(CZ71*Supuestos!$C$71*Supuestos!$F$13,0))</f>
        <v>680</v>
      </c>
      <c r="DA72" s="124">
        <f>MAX(0,MIN(ROUND(Supuestos!$F$12*(1+CZ$53)*$N72,0),IF(Supuestos!$C$72&gt;0,Supuestos!$C$72-CZ71+MIN(CZ71,ROUND(CZ71*Supuestos!$C$71*Supuestos!$F$13,0)),ROUND(Supuestos!$F$12*(1+CZ$53)*$N72,0))))</f>
        <v>67</v>
      </c>
      <c r="DB72" s="124">
        <f t="shared" si="44"/>
        <v>8145.8248863999979</v>
      </c>
      <c r="DC72" s="124">
        <f t="shared" si="45"/>
        <v>1</v>
      </c>
      <c r="DD72" s="124">
        <f>DD71+DE72-MIN(DD71,ROUND(DD71*Supuestos!$C$71*Supuestos!$F$13,0))</f>
        <v>680</v>
      </c>
      <c r="DE72" s="124">
        <f>MAX(0,MIN(ROUND(Supuestos!$F$12*(1+DD$53)*$N72,0),IF(Supuestos!$C$72&gt;0,Supuestos!$C$72-DD71+MIN(DD71,ROUND(DD71*Supuestos!$C$71*Supuestos!$F$13,0)),ROUND(Supuestos!$F$12*(1+DD$53)*$N72,0))))</f>
        <v>67</v>
      </c>
      <c r="DF72" s="124">
        <f t="shared" si="46"/>
        <v>9410.7114911999997</v>
      </c>
      <c r="DG72" s="124">
        <f t="shared" si="47"/>
        <v>1</v>
      </c>
      <c r="DH72" s="124">
        <f>DH71+DI72-MIN(DH71,ROUND(DH71*Supuestos!$C$71*Supuestos!$F$13,0))</f>
        <v>680</v>
      </c>
      <c r="DI72" s="124">
        <f>MAX(0,MIN(ROUND(Supuestos!$F$12*(1+DH$53)*$N72,0),IF(Supuestos!$C$72&gt;0,Supuestos!$C$72-DH71+MIN(DH71,ROUND(DH71*Supuestos!$C$71*Supuestos!$F$13,0)),ROUND(Supuestos!$F$12*(1+DH$53)*$N72,0))))</f>
        <v>67</v>
      </c>
      <c r="DJ72" s="124">
        <f t="shared" si="48"/>
        <v>10675.598095999998</v>
      </c>
      <c r="DK72" s="124">
        <f t="shared" si="49"/>
        <v>1</v>
      </c>
      <c r="DL72" s="124">
        <f>DL71+DM72-MIN(DL71,ROUND(DL71*Supuestos!$C$71*Supuestos!$F$13,0))</f>
        <v>680</v>
      </c>
      <c r="DM72" s="124">
        <f>MAX(0,MIN(ROUND(Supuestos!$F$12*(1+DL$53)*$N72,0),IF(Supuestos!$C$72&gt;0,Supuestos!$C$72-DL71+MIN(DL71,ROUND(DL71*Supuestos!$C$71*Supuestos!$F$13,0)),ROUND(Supuestos!$F$12*(1+DL$53)*$N72,0))))</f>
        <v>67</v>
      </c>
      <c r="DN72" s="124">
        <f t="shared" si="50"/>
        <v>11940.484700799996</v>
      </c>
      <c r="DO72" s="124">
        <f t="shared" si="51"/>
        <v>1</v>
      </c>
      <c r="DP72" s="124">
        <f>DP71+DQ72-MIN(DP71,ROUND(DP71*Supuestos!$C$71*Supuestos!$F$13,0))</f>
        <v>680</v>
      </c>
      <c r="DQ72" s="124">
        <f>MAX(0,MIN(ROUND(Supuestos!$F$12*(1+DP$53)*$N72,0),IF(Supuestos!$C$72&gt;0,Supuestos!$C$72-DP71+MIN(DP71,ROUND(DP71*Supuestos!$C$71*Supuestos!$F$13,0)),ROUND(Supuestos!$F$12*(1+DP$53)*$N72,0))))</f>
        <v>67</v>
      </c>
      <c r="DR72" s="124">
        <f t="shared" si="52"/>
        <v>13205.371305599998</v>
      </c>
      <c r="DS72" s="124">
        <f t="shared" si="53"/>
        <v>1</v>
      </c>
    </row>
    <row r="73" spans="2:123" ht="13.5" customHeight="1" x14ac:dyDescent="0.2">
      <c r="B73" s="7" t="str">
        <f>"Mes 18  ·  "&amp;CHOOSE(MONTH(DATE(YEAR(Supuestos!$C$8),MONTH(Supuestos!$C$8)+(18)-1,1)),"ene","feb","mar","abr","may","jun","jul","ago","sep","oct","nov","dic")&amp;" "&amp;YEAR(DATE(YEAR(Supuestos!$C$8),MONTH(Supuestos!$C$8)+(18)-1,1))</f>
        <v>Mes 18  ·  feb 2029</v>
      </c>
      <c r="C73" s="74">
        <f>'Previsión 36 meses'!$H$52</f>
        <v>582</v>
      </c>
      <c r="D73" s="72">
        <f t="shared" si="54"/>
        <v>447</v>
      </c>
      <c r="E73" s="59">
        <f>'Previsión 36 meses'!$H$57</f>
        <v>25954.385799999996</v>
      </c>
      <c r="F73" s="59">
        <f>'Previsión 36 meses'!$H$69+'Previsión 36 meses'!$H$73</f>
        <v>19801.865129600003</v>
      </c>
      <c r="G73" s="59">
        <f>'Previsión 36 meses'!$H$74</f>
        <v>6152.5206703999957</v>
      </c>
      <c r="H73" s="59">
        <f>'Previsión 36 meses'!$H$80</f>
        <v>3825.3868962957654</v>
      </c>
      <c r="I73" s="76">
        <f>'Previsión 36 meses'!$H$81</f>
        <v>24005.330573149182</v>
      </c>
      <c r="J73" s="59">
        <f t="shared" si="3"/>
        <v>2630.935862399956</v>
      </c>
      <c r="M73" s="119">
        <v>18</v>
      </c>
      <c r="N73" s="123">
        <f>IF($M73&lt;=12,INDEX(Supuestos!$C$55:$C$66,$M73)+IF($M73=1,Supuestos!$C$52,0),IF($M73&lt;=24,Supuestos!$C$69,Supuestos!$C$70)*IFERROR(INDEX(Supuestos!$C$55:$C$66,MOD($M73-1,12)+1)/AVERAGE(Supuestos!$C$55:$C$66),1))</f>
        <v>37.175398633257402</v>
      </c>
      <c r="O73" s="123">
        <f>Supuestos!$C$45*Supuestos!$F$14*(1+Supuestos!$C$112)^INT(($M73-1)/12)*(1-Supuestos!$C$98)</f>
        <v>37.202547199999998</v>
      </c>
      <c r="P73" s="123">
        <f>(Supuestos!$C$48+Supuestos!$C$49)*(1+Supuestos!$C$112)^INT(($M73-1)/12)*(1-Supuestos!$C$98-Supuestos!$C$99)</f>
        <v>2.7510999999999997</v>
      </c>
      <c r="Q73" s="123">
        <f>Supuestos!$C$47*(1+Supuestos!$C$112)^INT(($M73-1)/12)*(1-Supuestos!$C$98)</f>
        <v>20.254000000000001</v>
      </c>
      <c r="R73" s="120">
        <f>'Previsión 36 meses'!$H$69</f>
        <v>17849.900000000001</v>
      </c>
      <c r="S73" s="120">
        <f t="shared" si="0"/>
        <v>24005.330573149182</v>
      </c>
      <c r="T73" s="120">
        <f t="shared" si="1"/>
        <v>0</v>
      </c>
      <c r="U73" s="22" t="str">
        <f>CHOOSE(MONTH(DATE(YEAR(Supuestos!$C$8),MONTH(Supuestos!$C$8)+(18)-1,1)),"ene","feb","mar","abr","may","jun","jul","ago","sep","oct","nov","dic")&amp;" "&amp;RIGHT(YEAR(DATE(YEAR(Supuestos!$C$8),MONTH(Supuestos!$C$8)+(18)-1,1)),2)</f>
        <v>feb 29</v>
      </c>
      <c r="V73" s="121">
        <f>IF(AND(Supuestos!$C$33&gt;0,J73&gt;=Supuestos!$C$33),1,0)</f>
        <v>0</v>
      </c>
      <c r="X73" s="124">
        <f>X72+Y73-MIN(X72,ROUND(X72*Supuestos!$C$71*Supuestos!$F$13,0))</f>
        <v>468</v>
      </c>
      <c r="Y73" s="124">
        <f>MAX(0,MIN(ROUND(Supuestos!$F$12*(1+X$53)*$N73,0),IF(Supuestos!$C$72&gt;0,Supuestos!$C$72-X72+MIN(X72,ROUND(X72*Supuestos!$C$71*Supuestos!$F$13,0)),ROUND(Supuestos!$F$12*(1+X$53)*$N73,0))))</f>
        <v>30</v>
      </c>
      <c r="Z73" s="124">
        <f t="shared" si="4"/>
        <v>-285.052319360002</v>
      </c>
      <c r="AA73" s="124">
        <f t="shared" si="5"/>
        <v>0</v>
      </c>
      <c r="AB73" s="124">
        <f>AB72+AC73-MIN(AB72,ROUND(AB72*Supuestos!$C$71*Supuestos!$F$13,0))</f>
        <v>468</v>
      </c>
      <c r="AC73" s="124">
        <f>MAX(0,MIN(ROUND(Supuestos!$F$12*(1+AB$53)*$N73,0),IF(Supuestos!$C$72&gt;0,Supuestos!$C$72-AB72+MIN(AB72,ROUND(AB72*Supuestos!$C$71*Supuestos!$F$13,0)),ROUND(Supuestos!$F$12*(1+AB$53)*$N73,0))))</f>
        <v>30</v>
      </c>
      <c r="AD73" s="124">
        <f t="shared" si="6"/>
        <v>585.48728511999798</v>
      </c>
      <c r="AE73" s="124">
        <f t="shared" si="7"/>
        <v>1</v>
      </c>
      <c r="AF73" s="124">
        <f>AF72+AG73-MIN(AF72,ROUND(AF72*Supuestos!$C$71*Supuestos!$F$13,0))</f>
        <v>468</v>
      </c>
      <c r="AG73" s="124">
        <f>MAX(0,MIN(ROUND(Supuestos!$F$12*(1+AF$53)*$N73,0),IF(Supuestos!$C$72&gt;0,Supuestos!$C$72-AF72+MIN(AF72,ROUND(AF72*Supuestos!$C$71*Supuestos!$F$13,0)),ROUND(Supuestos!$F$12*(1+AF$53)*$N73,0))))</f>
        <v>30</v>
      </c>
      <c r="AH73" s="124">
        <f t="shared" si="8"/>
        <v>1456.026889599998</v>
      </c>
      <c r="AI73" s="124">
        <f t="shared" si="9"/>
        <v>1</v>
      </c>
      <c r="AJ73" s="124">
        <f>AJ72+AK73-MIN(AJ72,ROUND(AJ72*Supuestos!$C$71*Supuestos!$F$13,0))</f>
        <v>468</v>
      </c>
      <c r="AK73" s="124">
        <f>MAX(0,MIN(ROUND(Supuestos!$F$12*(1+AJ$53)*$N73,0),IF(Supuestos!$C$72&gt;0,Supuestos!$C$72-AJ72+MIN(AJ72,ROUND(AJ72*Supuestos!$C$71*Supuestos!$F$13,0)),ROUND(Supuestos!$F$12*(1+AJ$53)*$N73,0))))</f>
        <v>30</v>
      </c>
      <c r="AL73" s="124">
        <f t="shared" si="10"/>
        <v>2326.5664940799979</v>
      </c>
      <c r="AM73" s="124">
        <f t="shared" si="11"/>
        <v>1</v>
      </c>
      <c r="AN73" s="124">
        <f>AN72+AO73-MIN(AN72,ROUND(AN72*Supuestos!$C$71*Supuestos!$F$13,0))</f>
        <v>468</v>
      </c>
      <c r="AO73" s="124">
        <f>MAX(0,MIN(ROUND(Supuestos!$F$12*(1+AN$53)*$N73,0),IF(Supuestos!$C$72&gt;0,Supuestos!$C$72-AN72+MIN(AN72,ROUND(AN72*Supuestos!$C$71*Supuestos!$F$13,0)),ROUND(Supuestos!$F$12*(1+AN$53)*$N73,0))))</f>
        <v>30</v>
      </c>
      <c r="AP73" s="124">
        <f t="shared" si="12"/>
        <v>3197.1060985599979</v>
      </c>
      <c r="AQ73" s="124">
        <f t="shared" si="13"/>
        <v>1</v>
      </c>
      <c r="AR73" s="124">
        <f>AR72+AS73-MIN(AR72,ROUND(AR72*Supuestos!$C$71*Supuestos!$F$13,0))</f>
        <v>524</v>
      </c>
      <c r="AS73" s="124">
        <f>MAX(0,MIN(ROUND(Supuestos!$F$12*(1+AR$53)*$N73,0),IF(Supuestos!$C$72&gt;0,Supuestos!$C$72-AR72+MIN(AR72,ROUND(AR72*Supuestos!$C$71*Supuestos!$F$13,0)),ROUND(Supuestos!$F$12*(1+AR$53)*$N73,0))))</f>
        <v>33</v>
      </c>
      <c r="AT73" s="124">
        <f t="shared" si="14"/>
        <v>1804.7796595199979</v>
      </c>
      <c r="AU73" s="124">
        <f t="shared" si="15"/>
        <v>1</v>
      </c>
      <c r="AV73" s="124">
        <f>AV72+AW73-MIN(AV72,ROUND(AV72*Supuestos!$C$71*Supuestos!$F$13,0))</f>
        <v>524</v>
      </c>
      <c r="AW73" s="124">
        <f>MAX(0,MIN(ROUND(Supuestos!$F$12*(1+AV$53)*$N73,0),IF(Supuestos!$C$72&gt;0,Supuestos!$C$72-AV72+MIN(AV72,ROUND(AV72*Supuestos!$C$71*Supuestos!$F$13,0)),ROUND(Supuestos!$F$12*(1+AV$53)*$N73,0))))</f>
        <v>33</v>
      </c>
      <c r="AX73" s="124">
        <f t="shared" si="16"/>
        <v>2779.4863961599985</v>
      </c>
      <c r="AY73" s="124">
        <f t="shared" si="17"/>
        <v>1</v>
      </c>
      <c r="AZ73" s="124">
        <f>AZ72+BA73-MIN(AZ72,ROUND(AZ72*Supuestos!$C$71*Supuestos!$F$13,0))</f>
        <v>524</v>
      </c>
      <c r="BA73" s="124">
        <f>MAX(0,MIN(ROUND(Supuestos!$F$12*(1+AZ$53)*$N73,0),IF(Supuestos!$C$72&gt;0,Supuestos!$C$72-AZ72+MIN(AZ72,ROUND(AZ72*Supuestos!$C$71*Supuestos!$F$13,0)),ROUND(Supuestos!$F$12*(1+AZ$53)*$N73,0))))</f>
        <v>33</v>
      </c>
      <c r="BB73" s="124">
        <f t="shared" si="18"/>
        <v>3754.1931327999991</v>
      </c>
      <c r="BC73" s="124">
        <f t="shared" si="19"/>
        <v>1</v>
      </c>
      <c r="BD73" s="124">
        <f>BD72+BE73-MIN(BD72,ROUND(BD72*Supuestos!$C$71*Supuestos!$F$13,0))</f>
        <v>524</v>
      </c>
      <c r="BE73" s="124">
        <f>MAX(0,MIN(ROUND(Supuestos!$F$12*(1+BD$53)*$N73,0),IF(Supuestos!$C$72&gt;0,Supuestos!$C$72-BD72+MIN(BD72,ROUND(BD72*Supuestos!$C$71*Supuestos!$F$13,0)),ROUND(Supuestos!$F$12*(1+BD$53)*$N73,0))))</f>
        <v>33</v>
      </c>
      <c r="BF73" s="124">
        <f t="shared" si="20"/>
        <v>4728.8998694399997</v>
      </c>
      <c r="BG73" s="124">
        <f t="shared" si="21"/>
        <v>1</v>
      </c>
      <c r="BH73" s="124">
        <f>BH72+BI73-MIN(BH72,ROUND(BH72*Supuestos!$C$71*Supuestos!$F$13,0))</f>
        <v>524</v>
      </c>
      <c r="BI73" s="124">
        <f>MAX(0,MIN(ROUND(Supuestos!$F$12*(1+BH$53)*$N73,0),IF(Supuestos!$C$72&gt;0,Supuestos!$C$72-BH72+MIN(BH72,ROUND(BH72*Supuestos!$C$71*Supuestos!$F$13,0)),ROUND(Supuestos!$F$12*(1+BH$53)*$N73,0))))</f>
        <v>33</v>
      </c>
      <c r="BJ73" s="124">
        <f t="shared" si="22"/>
        <v>5703.6066060800003</v>
      </c>
      <c r="BK73" s="124">
        <f t="shared" si="23"/>
        <v>1</v>
      </c>
      <c r="BL73" s="124">
        <f>BL72+BM73-MIN(BL72,ROUND(BL72*Supuestos!$C$71*Supuestos!$F$13,0))</f>
        <v>582</v>
      </c>
      <c r="BM73" s="124">
        <f>MAX(0,MIN(ROUND(Supuestos!$F$12*(1+BL$53)*$N73,0),IF(Supuestos!$C$72&gt;0,Supuestos!$C$72-BL72+MIN(BL72,ROUND(BL72*Supuestos!$C$71*Supuestos!$F$13,0)),ROUND(Supuestos!$F$12*(1+BL$53)*$N73,0))))</f>
        <v>37</v>
      </c>
      <c r="BN73" s="124">
        <f t="shared" si="24"/>
        <v>3987.3324233599997</v>
      </c>
      <c r="BO73" s="124">
        <f t="shared" si="25"/>
        <v>1</v>
      </c>
      <c r="BP73" s="124">
        <f>BP72+BQ73-MIN(BP72,ROUND(BP72*Supuestos!$C$71*Supuestos!$F$13,0))</f>
        <v>582</v>
      </c>
      <c r="BQ73" s="124">
        <f>MAX(0,MIN(ROUND(Supuestos!$F$12*(1+BP$53)*$N73,0),IF(Supuestos!$C$72&gt;0,Supuestos!$C$72-BP72+MIN(BP72,ROUND(BP72*Supuestos!$C$71*Supuestos!$F$13,0)),ROUND(Supuestos!$F$12*(1+BP$53)*$N73,0))))</f>
        <v>37</v>
      </c>
      <c r="BR73" s="124">
        <f t="shared" si="26"/>
        <v>5069.9265468800004</v>
      </c>
      <c r="BS73" s="124">
        <f t="shared" si="27"/>
        <v>1</v>
      </c>
      <c r="BT73" s="124">
        <f>BT72+BU73-MIN(BT72,ROUND(BT72*Supuestos!$C$71*Supuestos!$F$13,0))</f>
        <v>582</v>
      </c>
      <c r="BU73" s="124">
        <f>MAX(0,MIN(ROUND(Supuestos!$F$12*(1+BT$53)*$N73,0),IF(Supuestos!$C$72&gt;0,Supuestos!$C$72-BT72+MIN(BT72,ROUND(BT72*Supuestos!$C$71*Supuestos!$F$13,0)),ROUND(Supuestos!$F$12*(1+BT$53)*$N73,0))))</f>
        <v>37</v>
      </c>
      <c r="BV73" s="124">
        <f t="shared" si="28"/>
        <v>6152.5206703999975</v>
      </c>
      <c r="BW73" s="124">
        <f t="shared" si="29"/>
        <v>1</v>
      </c>
      <c r="BX73" s="124">
        <f>BX72+BY73-MIN(BX72,ROUND(BX72*Supuestos!$C$71*Supuestos!$F$13,0))</f>
        <v>582</v>
      </c>
      <c r="BY73" s="124">
        <f>MAX(0,MIN(ROUND(Supuestos!$F$12*(1+BX$53)*$N73,0),IF(Supuestos!$C$72&gt;0,Supuestos!$C$72-BX72+MIN(BX72,ROUND(BX72*Supuestos!$C$71*Supuestos!$F$13,0)),ROUND(Supuestos!$F$12*(1+BX$53)*$N73,0))))</f>
        <v>37</v>
      </c>
      <c r="BZ73" s="124">
        <f t="shared" si="30"/>
        <v>7235.1147939199982</v>
      </c>
      <c r="CA73" s="124">
        <f t="shared" si="31"/>
        <v>1</v>
      </c>
      <c r="CB73" s="124">
        <f>CB72+CC73-MIN(CB72,ROUND(CB72*Supuestos!$C$71*Supuestos!$F$13,0))</f>
        <v>582</v>
      </c>
      <c r="CC73" s="124">
        <f>MAX(0,MIN(ROUND(Supuestos!$F$12*(1+CB$53)*$N73,0),IF(Supuestos!$C$72&gt;0,Supuestos!$C$72-CB72+MIN(CB72,ROUND(CB72*Supuestos!$C$71*Supuestos!$F$13,0)),ROUND(Supuestos!$F$12*(1+CB$53)*$N73,0))))</f>
        <v>37</v>
      </c>
      <c r="CD73" s="124">
        <f t="shared" si="32"/>
        <v>8317.7089174399989</v>
      </c>
      <c r="CE73" s="124">
        <f t="shared" si="33"/>
        <v>1</v>
      </c>
      <c r="CF73" s="124">
        <f>CF72+CG73-MIN(CF72,ROUND(CF72*Supuestos!$C$71*Supuestos!$F$13,0))</f>
        <v>641</v>
      </c>
      <c r="CG73" s="124">
        <f>MAX(0,MIN(ROUND(Supuestos!$F$12*(1+CF$53)*$N73,0),IF(Supuestos!$C$72&gt;0,Supuestos!$C$72-CF72+MIN(CF72,ROUND(CF72*Supuestos!$C$71*Supuestos!$F$13,0)),ROUND(Supuestos!$F$12*(1+CF$53)*$N73,0))))</f>
        <v>41</v>
      </c>
      <c r="CH73" s="124">
        <f t="shared" si="34"/>
        <v>6206.1185796799982</v>
      </c>
      <c r="CI73" s="124">
        <f t="shared" si="35"/>
        <v>1</v>
      </c>
      <c r="CJ73" s="124">
        <f>CJ72+CK73-MIN(CJ72,ROUND(CJ72*Supuestos!$C$71*Supuestos!$F$13,0))</f>
        <v>641</v>
      </c>
      <c r="CK73" s="124">
        <f>MAX(0,MIN(ROUND(Supuestos!$F$12*(1+CJ$53)*$N73,0),IF(Supuestos!$C$72&gt;0,Supuestos!$C$72-CJ72+MIN(CJ72,ROUND(CJ72*Supuestos!$C$71*Supuestos!$F$13,0)),ROUND(Supuestos!$F$12*(1+CJ$53)*$N73,0))))</f>
        <v>41</v>
      </c>
      <c r="CL73" s="124">
        <f t="shared" si="36"/>
        <v>7398.4602174399988</v>
      </c>
      <c r="CM73" s="124">
        <f t="shared" si="37"/>
        <v>1</v>
      </c>
      <c r="CN73" s="124">
        <f>CN72+CO73-MIN(CN72,ROUND(CN72*Supuestos!$C$71*Supuestos!$F$13,0))</f>
        <v>641</v>
      </c>
      <c r="CO73" s="124">
        <f>MAX(0,MIN(ROUND(Supuestos!$F$12*(1+CN$53)*$N73,0),IF(Supuestos!$C$72&gt;0,Supuestos!$C$72-CN72+MIN(CN72,ROUND(CN72*Supuestos!$C$71*Supuestos!$F$13,0)),ROUND(Supuestos!$F$12*(1+CN$53)*$N73,0))))</f>
        <v>41</v>
      </c>
      <c r="CP73" s="124">
        <f t="shared" si="38"/>
        <v>8590.8018551999994</v>
      </c>
      <c r="CQ73" s="124">
        <f t="shared" si="39"/>
        <v>1</v>
      </c>
      <c r="CR73" s="124">
        <f>CR72+CS73-MIN(CR72,ROUND(CR72*Supuestos!$C$71*Supuestos!$F$13,0))</f>
        <v>641</v>
      </c>
      <c r="CS73" s="124">
        <f>MAX(0,MIN(ROUND(Supuestos!$F$12*(1+CR$53)*$N73,0),IF(Supuestos!$C$72&gt;0,Supuestos!$C$72-CR72+MIN(CR72,ROUND(CR72*Supuestos!$C$71*Supuestos!$F$13,0)),ROUND(Supuestos!$F$12*(1+CR$53)*$N73,0))))</f>
        <v>41</v>
      </c>
      <c r="CT73" s="124">
        <f t="shared" si="40"/>
        <v>9783.14349296</v>
      </c>
      <c r="CU73" s="124">
        <f t="shared" si="41"/>
        <v>1</v>
      </c>
      <c r="CV73" s="124">
        <f>CV72+CW73-MIN(CV72,ROUND(CV72*Supuestos!$C$71*Supuestos!$F$13,0))</f>
        <v>641</v>
      </c>
      <c r="CW73" s="124">
        <f>MAX(0,MIN(ROUND(Supuestos!$F$12*(1+CV$53)*$N73,0),IF(Supuestos!$C$72&gt;0,Supuestos!$C$72-CV72+MIN(CV72,ROUND(CV72*Supuestos!$C$71*Supuestos!$F$13,0)),ROUND(Supuestos!$F$12*(1+CV$53)*$N73,0))))</f>
        <v>41</v>
      </c>
      <c r="CX73" s="124">
        <f t="shared" si="42"/>
        <v>10975.485130719997</v>
      </c>
      <c r="CY73" s="124">
        <f t="shared" si="43"/>
        <v>1</v>
      </c>
      <c r="CZ73" s="124">
        <f>CZ72+DA73-MIN(CZ72,ROUND(CZ72*Supuestos!$C$71*Supuestos!$F$13,0))</f>
        <v>698</v>
      </c>
      <c r="DA73" s="124">
        <f>MAX(0,MIN(ROUND(Supuestos!$F$12*(1+CZ$53)*$N73,0),IF(Supuestos!$C$72&gt;0,Supuestos!$C$72-CZ72+MIN(CZ72,ROUND(CZ72*Supuestos!$C$71*Supuestos!$F$13,0)),ROUND(Supuestos!$F$12*(1+CZ$53)*$N73,0))))</f>
        <v>45</v>
      </c>
      <c r="DB73" s="124">
        <f t="shared" si="44"/>
        <v>8352.4379510399995</v>
      </c>
      <c r="DC73" s="124">
        <f t="shared" si="45"/>
        <v>1</v>
      </c>
      <c r="DD73" s="124">
        <f>DD72+DE73-MIN(DD72,ROUND(DD72*Supuestos!$C$71*Supuestos!$F$13,0))</f>
        <v>698</v>
      </c>
      <c r="DE73" s="124">
        <f>MAX(0,MIN(ROUND(Supuestos!$F$12*(1+DD$53)*$N73,0),IF(Supuestos!$C$72&gt;0,Supuestos!$C$72-DD72+MIN(DD72,ROUND(DD72*Supuestos!$C$71*Supuestos!$F$13,0)),ROUND(Supuestos!$F$12*(1+DD$53)*$N73,0))))</f>
        <v>45</v>
      </c>
      <c r="DF73" s="124">
        <f t="shared" si="46"/>
        <v>9650.8068483199968</v>
      </c>
      <c r="DG73" s="124">
        <f t="shared" si="47"/>
        <v>1</v>
      </c>
      <c r="DH73" s="124">
        <f>DH72+DI73-MIN(DH72,ROUND(DH72*Supuestos!$C$71*Supuestos!$F$13,0))</f>
        <v>698</v>
      </c>
      <c r="DI73" s="124">
        <f>MAX(0,MIN(ROUND(Supuestos!$F$12*(1+DH$53)*$N73,0),IF(Supuestos!$C$72&gt;0,Supuestos!$C$72-DH72+MIN(DH72,ROUND(DH72*Supuestos!$C$71*Supuestos!$F$13,0)),ROUND(Supuestos!$F$12*(1+DH$53)*$N73,0))))</f>
        <v>45</v>
      </c>
      <c r="DJ73" s="124">
        <f t="shared" si="48"/>
        <v>10949.175745599998</v>
      </c>
      <c r="DK73" s="124">
        <f t="shared" si="49"/>
        <v>1</v>
      </c>
      <c r="DL73" s="124">
        <f>DL72+DM73-MIN(DL72,ROUND(DL72*Supuestos!$C$71*Supuestos!$F$13,0))</f>
        <v>698</v>
      </c>
      <c r="DM73" s="124">
        <f>MAX(0,MIN(ROUND(Supuestos!$F$12*(1+DL$53)*$N73,0),IF(Supuestos!$C$72&gt;0,Supuestos!$C$72-DL72+MIN(DL72,ROUND(DL72*Supuestos!$C$71*Supuestos!$F$13,0)),ROUND(Supuestos!$F$12*(1+DL$53)*$N73,0))))</f>
        <v>45</v>
      </c>
      <c r="DN73" s="124">
        <f t="shared" si="50"/>
        <v>12247.544642879999</v>
      </c>
      <c r="DO73" s="124">
        <f t="shared" si="51"/>
        <v>1</v>
      </c>
      <c r="DP73" s="124">
        <f>DP72+DQ73-MIN(DP72,ROUND(DP72*Supuestos!$C$71*Supuestos!$F$13,0))</f>
        <v>698</v>
      </c>
      <c r="DQ73" s="124">
        <f>MAX(0,MIN(ROUND(Supuestos!$F$12*(1+DP$53)*$N73,0),IF(Supuestos!$C$72&gt;0,Supuestos!$C$72-DP72+MIN(DP72,ROUND(DP72*Supuestos!$C$71*Supuestos!$F$13,0)),ROUND(Supuestos!$F$12*(1+DP$53)*$N73,0))))</f>
        <v>45</v>
      </c>
      <c r="DR73" s="124">
        <f t="shared" si="52"/>
        <v>13545.91354016</v>
      </c>
      <c r="DS73" s="124">
        <f t="shared" si="53"/>
        <v>1</v>
      </c>
    </row>
    <row r="74" spans="2:123" ht="13.5" customHeight="1" x14ac:dyDescent="0.2">
      <c r="B74" s="7" t="str">
        <f>"Mes 19  ·  "&amp;CHOOSE(MONTH(DATE(YEAR(Supuestos!$C$8),MONTH(Supuestos!$C$8)+(19)-1,1)),"ene","feb","mar","abr","may","jun","jul","ago","sep","oct","nov","dic")&amp;" "&amp;YEAR(DATE(YEAR(Supuestos!$C$8),MONTH(Supuestos!$C$8)+(19)-1,1))</f>
        <v>Mes 19  ·  mar 2029</v>
      </c>
      <c r="C74" s="74">
        <f>'Previsión 36 meses'!$I$52</f>
        <v>592</v>
      </c>
      <c r="D74" s="72">
        <f t="shared" si="54"/>
        <v>447</v>
      </c>
      <c r="E74" s="59">
        <f>'Previsión 36 meses'!$I$57</f>
        <v>26305.304799999998</v>
      </c>
      <c r="F74" s="59">
        <f>'Previsión 36 meses'!$I$69+'Previsión 36 meses'!$I$73</f>
        <v>19834.2636576</v>
      </c>
      <c r="G74" s="59">
        <f>'Previsión 36 meses'!$I$74</f>
        <v>6471.0411423999967</v>
      </c>
      <c r="H74" s="59">
        <f>'Previsión 36 meses'!$I$80</f>
        <v>4143.907368295766</v>
      </c>
      <c r="I74" s="76">
        <f>'Previsión 36 meses'!$I$81</f>
        <v>28149.237941444946</v>
      </c>
      <c r="J74" s="59">
        <f t="shared" si="3"/>
        <v>9101.9770047999518</v>
      </c>
      <c r="M74" s="119">
        <v>19</v>
      </c>
      <c r="N74" s="123">
        <f>IF($M74&lt;=12,INDEX(Supuestos!$C$55:$C$66,$M74)+IF($M74=1,Supuestos!$C$52,0),IF($M74&lt;=24,Supuestos!$C$69,Supuestos!$C$70)*IFERROR(INDEX(Supuestos!$C$55:$C$66,MOD($M74-1,12)+1)/AVERAGE(Supuestos!$C$55:$C$66),1))</f>
        <v>32.528473804100223</v>
      </c>
      <c r="O74" s="123">
        <f>Supuestos!$C$45*Supuestos!$F$14*(1+Supuestos!$C$112)^INT(($M74-1)/12)*(1-Supuestos!$C$98)</f>
        <v>37.202547199999998</v>
      </c>
      <c r="P74" s="123">
        <f>(Supuestos!$C$48+Supuestos!$C$49)*(1+Supuestos!$C$112)^INT(($M74-1)/12)*(1-Supuestos!$C$98-Supuestos!$C$99)</f>
        <v>2.7510999999999997</v>
      </c>
      <c r="Q74" s="123">
        <f>Supuestos!$C$47*(1+Supuestos!$C$112)^INT(($M74-1)/12)*(1-Supuestos!$C$98)</f>
        <v>20.254000000000001</v>
      </c>
      <c r="R74" s="120">
        <f>'Previsión 36 meses'!$I$69</f>
        <v>17849.900000000001</v>
      </c>
      <c r="S74" s="120">
        <f t="shared" si="0"/>
        <v>28149.237941444946</v>
      </c>
      <c r="T74" s="120">
        <f t="shared" si="1"/>
        <v>0</v>
      </c>
      <c r="U74" s="22" t="str">
        <f>CHOOSE(MONTH(DATE(YEAR(Supuestos!$C$8),MONTH(Supuestos!$C$8)+(19)-1,1)),"ene","feb","mar","abr","may","jun","jul","ago","sep","oct","nov","dic")&amp;" "&amp;RIGHT(YEAR(DATE(YEAR(Supuestos!$C$8),MONTH(Supuestos!$C$8)+(19)-1,1)),2)</f>
        <v>mar 29</v>
      </c>
      <c r="V74" s="121">
        <f>IF(AND(Supuestos!$C$33&gt;0,J74&gt;=Supuestos!$C$33),1,0)</f>
        <v>0</v>
      </c>
      <c r="X74" s="124">
        <f>X73+Y74-MIN(X73,ROUND(X73*Supuestos!$C$71*Supuestos!$F$13,0))</f>
        <v>475</v>
      </c>
      <c r="Y74" s="124">
        <f>MAX(0,MIN(ROUND(Supuestos!$F$12*(1+X$53)*$N74,0),IF(Supuestos!$C$72&gt;0,Supuestos!$C$72-X73+MIN(X73,ROUND(X73*Supuestos!$C$71*Supuestos!$F$13,0)),ROUND(Supuestos!$F$12*(1+X$53)*$N74,0))))</f>
        <v>26</v>
      </c>
      <c r="Z74" s="124">
        <f t="shared" si="4"/>
        <v>-112.43457200000194</v>
      </c>
      <c r="AA74" s="124">
        <f t="shared" si="5"/>
        <v>0</v>
      </c>
      <c r="AB74" s="124">
        <f>AB73+AC74-MIN(AB73,ROUND(AB73*Supuestos!$C$71*Supuestos!$F$13,0))</f>
        <v>475</v>
      </c>
      <c r="AC74" s="124">
        <f>MAX(0,MIN(ROUND(Supuestos!$F$12*(1+AB$53)*$N74,0),IF(Supuestos!$C$72&gt;0,Supuestos!$C$72-AB73+MIN(AB73,ROUND(AB73*Supuestos!$C$71*Supuestos!$F$13,0)),ROUND(Supuestos!$F$12*(1+AB$53)*$N74,0))))</f>
        <v>26</v>
      </c>
      <c r="AD74" s="124">
        <f t="shared" si="6"/>
        <v>771.1259239999963</v>
      </c>
      <c r="AE74" s="124">
        <f t="shared" si="7"/>
        <v>1</v>
      </c>
      <c r="AF74" s="124">
        <f>AF73+AG74-MIN(AF73,ROUND(AF73*Supuestos!$C$71*Supuestos!$F$13,0))</f>
        <v>475</v>
      </c>
      <c r="AG74" s="124">
        <f>MAX(0,MIN(ROUND(Supuestos!$F$12*(1+AF$53)*$N74,0),IF(Supuestos!$C$72&gt;0,Supuestos!$C$72-AF73+MIN(AF73,ROUND(AF73*Supuestos!$C$71*Supuestos!$F$13,0)),ROUND(Supuestos!$F$12*(1+AF$53)*$N74,0))))</f>
        <v>26</v>
      </c>
      <c r="AH74" s="124">
        <f t="shared" si="8"/>
        <v>1654.6864199999982</v>
      </c>
      <c r="AI74" s="124">
        <f t="shared" si="9"/>
        <v>1</v>
      </c>
      <c r="AJ74" s="124">
        <f>AJ73+AK74-MIN(AJ73,ROUND(AJ73*Supuestos!$C$71*Supuestos!$F$13,0))</f>
        <v>475</v>
      </c>
      <c r="AK74" s="124">
        <f>MAX(0,MIN(ROUND(Supuestos!$F$12*(1+AJ$53)*$N74,0),IF(Supuestos!$C$72&gt;0,Supuestos!$C$72-AJ73+MIN(AJ73,ROUND(AJ73*Supuestos!$C$71*Supuestos!$F$13,0)),ROUND(Supuestos!$F$12*(1+AJ$53)*$N74,0))))</f>
        <v>26</v>
      </c>
      <c r="AL74" s="124">
        <f t="shared" si="10"/>
        <v>2538.2469159999964</v>
      </c>
      <c r="AM74" s="124">
        <f t="shared" si="11"/>
        <v>1</v>
      </c>
      <c r="AN74" s="124">
        <f>AN73+AO74-MIN(AN73,ROUND(AN73*Supuestos!$C$71*Supuestos!$F$13,0))</f>
        <v>475</v>
      </c>
      <c r="AO74" s="124">
        <f>MAX(0,MIN(ROUND(Supuestos!$F$12*(1+AN$53)*$N74,0),IF(Supuestos!$C$72&gt;0,Supuestos!$C$72-AN73+MIN(AN73,ROUND(AN73*Supuestos!$C$71*Supuestos!$F$13,0)),ROUND(Supuestos!$F$12*(1+AN$53)*$N74,0))))</f>
        <v>26</v>
      </c>
      <c r="AP74" s="124">
        <f t="shared" si="12"/>
        <v>3421.8074119999983</v>
      </c>
      <c r="AQ74" s="124">
        <f t="shared" si="13"/>
        <v>1</v>
      </c>
      <c r="AR74" s="124">
        <f>AR73+AS74-MIN(AR73,ROUND(AR73*Supuestos!$C$71*Supuestos!$F$13,0))</f>
        <v>532</v>
      </c>
      <c r="AS74" s="124">
        <f>MAX(0,MIN(ROUND(Supuestos!$F$12*(1+AR$53)*$N74,0),IF(Supuestos!$C$72&gt;0,Supuestos!$C$72-AR73+MIN(AR73,ROUND(AR73*Supuestos!$C$71*Supuestos!$F$13,0)),ROUND(Supuestos!$F$12*(1+AR$53)*$N74,0))))</f>
        <v>29</v>
      </c>
      <c r="AT74" s="124">
        <f t="shared" si="14"/>
        <v>2013.6307993599985</v>
      </c>
      <c r="AU74" s="124">
        <f t="shared" si="15"/>
        <v>1</v>
      </c>
      <c r="AV74" s="124">
        <f>AV73+AW74-MIN(AV73,ROUND(AV73*Supuestos!$C$71*Supuestos!$F$13,0))</f>
        <v>532</v>
      </c>
      <c r="AW74" s="124">
        <f>MAX(0,MIN(ROUND(Supuestos!$F$12*(1+AV$53)*$N74,0),IF(Supuestos!$C$72&gt;0,Supuestos!$C$72-AV73+MIN(AV73,ROUND(AV73*Supuestos!$C$71*Supuestos!$F$13,0)),ROUND(Supuestos!$F$12*(1+AV$53)*$N74,0))))</f>
        <v>29</v>
      </c>
      <c r="AX74" s="124">
        <f t="shared" si="16"/>
        <v>3003.2185548799971</v>
      </c>
      <c r="AY74" s="124">
        <f t="shared" si="17"/>
        <v>1</v>
      </c>
      <c r="AZ74" s="124">
        <f>AZ73+BA74-MIN(AZ73,ROUND(AZ73*Supuestos!$C$71*Supuestos!$F$13,0))</f>
        <v>532</v>
      </c>
      <c r="BA74" s="124">
        <f>MAX(0,MIN(ROUND(Supuestos!$F$12*(1+AZ$53)*$N74,0),IF(Supuestos!$C$72&gt;0,Supuestos!$C$72-AZ73+MIN(AZ73,ROUND(AZ73*Supuestos!$C$71*Supuestos!$F$13,0)),ROUND(Supuestos!$F$12*(1+AZ$53)*$N74,0))))</f>
        <v>29</v>
      </c>
      <c r="BB74" s="124">
        <f t="shared" si="18"/>
        <v>3992.8063103999957</v>
      </c>
      <c r="BC74" s="124">
        <f t="shared" si="19"/>
        <v>1</v>
      </c>
      <c r="BD74" s="124">
        <f>BD73+BE74-MIN(BD73,ROUND(BD73*Supuestos!$C$71*Supuestos!$F$13,0))</f>
        <v>532</v>
      </c>
      <c r="BE74" s="124">
        <f>MAX(0,MIN(ROUND(Supuestos!$F$12*(1+BD$53)*$N74,0),IF(Supuestos!$C$72&gt;0,Supuestos!$C$72-BD73+MIN(BD73,ROUND(BD73*Supuestos!$C$71*Supuestos!$F$13,0)),ROUND(Supuestos!$F$12*(1+BD$53)*$N74,0))))</f>
        <v>29</v>
      </c>
      <c r="BF74" s="124">
        <f t="shared" si="20"/>
        <v>4982.3940659199943</v>
      </c>
      <c r="BG74" s="124">
        <f t="shared" si="21"/>
        <v>1</v>
      </c>
      <c r="BH74" s="124">
        <f>BH73+BI74-MIN(BH73,ROUND(BH73*Supuestos!$C$71*Supuestos!$F$13,0))</f>
        <v>532</v>
      </c>
      <c r="BI74" s="124">
        <f>MAX(0,MIN(ROUND(Supuestos!$F$12*(1+BH$53)*$N74,0),IF(Supuestos!$C$72&gt;0,Supuestos!$C$72-BH73+MIN(BH73,ROUND(BH73*Supuestos!$C$71*Supuestos!$F$13,0)),ROUND(Supuestos!$F$12*(1+BH$53)*$N74,0))))</f>
        <v>29</v>
      </c>
      <c r="BJ74" s="124">
        <f t="shared" si="22"/>
        <v>5971.9818214400002</v>
      </c>
      <c r="BK74" s="124">
        <f t="shared" si="23"/>
        <v>1</v>
      </c>
      <c r="BL74" s="124">
        <f>BL73+BM74-MIN(BL73,ROUND(BL73*Supuestos!$C$71*Supuestos!$F$13,0))</f>
        <v>592</v>
      </c>
      <c r="BM74" s="124">
        <f>MAX(0,MIN(ROUND(Supuestos!$F$12*(1+BL$53)*$N74,0),IF(Supuestos!$C$72&gt;0,Supuestos!$C$72-BL73+MIN(BL73,ROUND(BL73*Supuestos!$C$71*Supuestos!$F$13,0)),ROUND(Supuestos!$F$12*(1+BL$53)*$N74,0))))</f>
        <v>33</v>
      </c>
      <c r="BN74" s="124">
        <f t="shared" si="24"/>
        <v>4268.6503481600012</v>
      </c>
      <c r="BO74" s="124">
        <f t="shared" si="25"/>
        <v>1</v>
      </c>
      <c r="BP74" s="124">
        <f>BP73+BQ74-MIN(BP73,ROUND(BP73*Supuestos!$C$71*Supuestos!$F$13,0))</f>
        <v>592</v>
      </c>
      <c r="BQ74" s="124">
        <f>MAX(0,MIN(ROUND(Supuestos!$F$12*(1+BP$53)*$N74,0),IF(Supuestos!$C$72&gt;0,Supuestos!$C$72-BP73+MIN(BP73,ROUND(BP73*Supuestos!$C$71*Supuestos!$F$13,0)),ROUND(Supuestos!$F$12*(1+BP$53)*$N74,0))))</f>
        <v>33</v>
      </c>
      <c r="BR74" s="124">
        <f t="shared" si="26"/>
        <v>5369.8457452799994</v>
      </c>
      <c r="BS74" s="124">
        <f t="shared" si="27"/>
        <v>1</v>
      </c>
      <c r="BT74" s="124">
        <f>BT73+BU74-MIN(BT73,ROUND(BT73*Supuestos!$C$71*Supuestos!$F$13,0))</f>
        <v>592</v>
      </c>
      <c r="BU74" s="124">
        <f>MAX(0,MIN(ROUND(Supuestos!$F$12*(1+BT$53)*$N74,0),IF(Supuestos!$C$72&gt;0,Supuestos!$C$72-BT73+MIN(BT73,ROUND(BT73*Supuestos!$C$71*Supuestos!$F$13,0)),ROUND(Supuestos!$F$12*(1+BT$53)*$N74,0))))</f>
        <v>33</v>
      </c>
      <c r="BV74" s="124">
        <f t="shared" si="28"/>
        <v>6471.0411423999976</v>
      </c>
      <c r="BW74" s="124">
        <f t="shared" si="29"/>
        <v>1</v>
      </c>
      <c r="BX74" s="124">
        <f>BX73+BY74-MIN(BX73,ROUND(BX73*Supuestos!$C$71*Supuestos!$F$13,0))</f>
        <v>592</v>
      </c>
      <c r="BY74" s="124">
        <f>MAX(0,MIN(ROUND(Supuestos!$F$12*(1+BX$53)*$N74,0),IF(Supuestos!$C$72&gt;0,Supuestos!$C$72-BX73+MIN(BX73,ROUND(BX73*Supuestos!$C$71*Supuestos!$F$13,0)),ROUND(Supuestos!$F$12*(1+BX$53)*$N74,0))))</f>
        <v>33</v>
      </c>
      <c r="BZ74" s="124">
        <f t="shared" si="30"/>
        <v>7572.2365395199995</v>
      </c>
      <c r="CA74" s="124">
        <f t="shared" si="31"/>
        <v>1</v>
      </c>
      <c r="CB74" s="124">
        <f>CB73+CC74-MIN(CB73,ROUND(CB73*Supuestos!$C$71*Supuestos!$F$13,0))</f>
        <v>592</v>
      </c>
      <c r="CC74" s="124">
        <f>MAX(0,MIN(ROUND(Supuestos!$F$12*(1+CB$53)*$N74,0),IF(Supuestos!$C$72&gt;0,Supuestos!$C$72-CB73+MIN(CB73,ROUND(CB73*Supuestos!$C$71*Supuestos!$F$13,0)),ROUND(Supuestos!$F$12*(1+CB$53)*$N74,0))))</f>
        <v>33</v>
      </c>
      <c r="CD74" s="124">
        <f t="shared" si="32"/>
        <v>8673.4319366399977</v>
      </c>
      <c r="CE74" s="124">
        <f t="shared" si="33"/>
        <v>1</v>
      </c>
      <c r="CF74" s="124">
        <f>CF73+CG74-MIN(CF73,ROUND(CF73*Supuestos!$C$71*Supuestos!$F$13,0))</f>
        <v>651</v>
      </c>
      <c r="CG74" s="124">
        <f>MAX(0,MIN(ROUND(Supuestos!$F$12*(1+CF$53)*$N74,0),IF(Supuestos!$C$72&gt;0,Supuestos!$C$72-CF73+MIN(CF73,ROUND(CF73*Supuestos!$C$71*Supuestos!$F$13,0)),ROUND(Supuestos!$F$12*(1+CF$53)*$N74,0))))</f>
        <v>36</v>
      </c>
      <c r="CH74" s="124">
        <f t="shared" si="34"/>
        <v>6467.1825044799989</v>
      </c>
      <c r="CI74" s="124">
        <f t="shared" si="35"/>
        <v>1</v>
      </c>
      <c r="CJ74" s="124">
        <f>CJ73+CK74-MIN(CJ73,ROUND(CJ73*Supuestos!$C$71*Supuestos!$F$13,0))</f>
        <v>651</v>
      </c>
      <c r="CK74" s="124">
        <f>MAX(0,MIN(ROUND(Supuestos!$F$12*(1+CJ$53)*$N74,0),IF(Supuestos!$C$72&gt;0,Supuestos!$C$72-CJ73+MIN(CJ73,ROUND(CJ73*Supuestos!$C$71*Supuestos!$F$13,0)),ROUND(Supuestos!$F$12*(1+CJ$53)*$N74,0))))</f>
        <v>36</v>
      </c>
      <c r="CL74" s="124">
        <f t="shared" si="36"/>
        <v>7678.125415839997</v>
      </c>
      <c r="CM74" s="124">
        <f t="shared" si="37"/>
        <v>1</v>
      </c>
      <c r="CN74" s="124">
        <f>CN73+CO74-MIN(CN73,ROUND(CN73*Supuestos!$C$71*Supuestos!$F$13,0))</f>
        <v>651</v>
      </c>
      <c r="CO74" s="124">
        <f>MAX(0,MIN(ROUND(Supuestos!$F$12*(1+CN$53)*$N74,0),IF(Supuestos!$C$72&gt;0,Supuestos!$C$72-CN73+MIN(CN73,ROUND(CN73*Supuestos!$C$71*Supuestos!$F$13,0)),ROUND(Supuestos!$F$12*(1+CN$53)*$N74,0))))</f>
        <v>36</v>
      </c>
      <c r="CP74" s="124">
        <f t="shared" si="38"/>
        <v>8889.0683271999987</v>
      </c>
      <c r="CQ74" s="124">
        <f t="shared" si="39"/>
        <v>1</v>
      </c>
      <c r="CR74" s="124">
        <f>CR73+CS74-MIN(CR73,ROUND(CR73*Supuestos!$C$71*Supuestos!$F$13,0))</f>
        <v>651</v>
      </c>
      <c r="CS74" s="124">
        <f>MAX(0,MIN(ROUND(Supuestos!$F$12*(1+CR$53)*$N74,0),IF(Supuestos!$C$72&gt;0,Supuestos!$C$72-CR73+MIN(CR73,ROUND(CR73*Supuestos!$C$71*Supuestos!$F$13,0)),ROUND(Supuestos!$F$12*(1+CR$53)*$N74,0))))</f>
        <v>36</v>
      </c>
      <c r="CT74" s="124">
        <f t="shared" si="40"/>
        <v>10100.011238559997</v>
      </c>
      <c r="CU74" s="124">
        <f t="shared" si="41"/>
        <v>1</v>
      </c>
      <c r="CV74" s="124">
        <f>CV73+CW74-MIN(CV73,ROUND(CV73*Supuestos!$C$71*Supuestos!$F$13,0))</f>
        <v>651</v>
      </c>
      <c r="CW74" s="124">
        <f>MAX(0,MIN(ROUND(Supuestos!$F$12*(1+CV$53)*$N74,0),IF(Supuestos!$C$72&gt;0,Supuestos!$C$72-CV73+MIN(CV73,ROUND(CV73*Supuestos!$C$71*Supuestos!$F$13,0)),ROUND(Supuestos!$F$12*(1+CV$53)*$N74,0))))</f>
        <v>36</v>
      </c>
      <c r="CX74" s="124">
        <f t="shared" si="42"/>
        <v>11310.954149919999</v>
      </c>
      <c r="CY74" s="124">
        <f t="shared" si="43"/>
        <v>1</v>
      </c>
      <c r="CZ74" s="124">
        <f>CZ73+DA74-MIN(CZ73,ROUND(CZ73*Supuestos!$C$71*Supuestos!$F$13,0))</f>
        <v>709</v>
      </c>
      <c r="DA74" s="124">
        <f>MAX(0,MIN(ROUND(Supuestos!$F$12*(1+CZ$53)*$N74,0),IF(Supuestos!$C$72&gt;0,Supuestos!$C$72-CZ73+MIN(CZ73,ROUND(CZ73*Supuestos!$C$71*Supuestos!$F$13,0)),ROUND(Supuestos!$F$12*(1+CZ$53)*$N74,0))))</f>
        <v>39</v>
      </c>
      <c r="DB74" s="124">
        <f t="shared" si="44"/>
        <v>8629.4812683199962</v>
      </c>
      <c r="DC74" s="124">
        <f t="shared" si="45"/>
        <v>1</v>
      </c>
      <c r="DD74" s="124">
        <f>DD73+DE74-MIN(DD73,ROUND(DD73*Supuestos!$C$71*Supuestos!$F$13,0))</f>
        <v>709</v>
      </c>
      <c r="DE74" s="124">
        <f>MAX(0,MIN(ROUND(Supuestos!$F$12*(1+DD$53)*$N74,0),IF(Supuestos!$C$72&gt;0,Supuestos!$C$72-DD73+MIN(DD73,ROUND(DD73*Supuestos!$C$71*Supuestos!$F$13,0)),ROUND(Supuestos!$F$12*(1+DD$53)*$N74,0))))</f>
        <v>39</v>
      </c>
      <c r="DF74" s="124">
        <f t="shared" si="46"/>
        <v>9948.311566559998</v>
      </c>
      <c r="DG74" s="124">
        <f t="shared" si="47"/>
        <v>1</v>
      </c>
      <c r="DH74" s="124">
        <f>DH73+DI74-MIN(DH73,ROUND(DH73*Supuestos!$C$71*Supuestos!$F$13,0))</f>
        <v>709</v>
      </c>
      <c r="DI74" s="124">
        <f>MAX(0,MIN(ROUND(Supuestos!$F$12*(1+DH$53)*$N74,0),IF(Supuestos!$C$72&gt;0,Supuestos!$C$72-DH73+MIN(DH73,ROUND(DH73*Supuestos!$C$71*Supuestos!$F$13,0)),ROUND(Supuestos!$F$12*(1+DH$53)*$N74,0))))</f>
        <v>39</v>
      </c>
      <c r="DJ74" s="124">
        <f t="shared" si="48"/>
        <v>11267.141864799996</v>
      </c>
      <c r="DK74" s="124">
        <f t="shared" si="49"/>
        <v>1</v>
      </c>
      <c r="DL74" s="124">
        <f>DL73+DM74-MIN(DL73,ROUND(DL73*Supuestos!$C$71*Supuestos!$F$13,0))</f>
        <v>709</v>
      </c>
      <c r="DM74" s="124">
        <f>MAX(0,MIN(ROUND(Supuestos!$F$12*(1+DL$53)*$N74,0),IF(Supuestos!$C$72&gt;0,Supuestos!$C$72-DL73+MIN(DL73,ROUND(DL73*Supuestos!$C$71*Supuestos!$F$13,0)),ROUND(Supuestos!$F$12*(1+DL$53)*$N74,0))))</f>
        <v>39</v>
      </c>
      <c r="DN74" s="124">
        <f t="shared" si="50"/>
        <v>12585.972163039998</v>
      </c>
      <c r="DO74" s="124">
        <f t="shared" si="51"/>
        <v>1</v>
      </c>
      <c r="DP74" s="124">
        <f>DP73+DQ74-MIN(DP73,ROUND(DP73*Supuestos!$C$71*Supuestos!$F$13,0))</f>
        <v>709</v>
      </c>
      <c r="DQ74" s="124">
        <f>MAX(0,MIN(ROUND(Supuestos!$F$12*(1+DP$53)*$N74,0),IF(Supuestos!$C$72&gt;0,Supuestos!$C$72-DP73+MIN(DP73,ROUND(DP73*Supuestos!$C$71*Supuestos!$F$13,0)),ROUND(Supuestos!$F$12*(1+DP$53)*$N74,0))))</f>
        <v>39</v>
      </c>
      <c r="DR74" s="124">
        <f t="shared" si="52"/>
        <v>13904.802461279996</v>
      </c>
      <c r="DS74" s="124">
        <f t="shared" si="53"/>
        <v>1</v>
      </c>
    </row>
    <row r="75" spans="2:123" ht="13.5" customHeight="1" x14ac:dyDescent="0.2">
      <c r="B75" s="7" t="str">
        <f>"Mes 20  ·  "&amp;CHOOSE(MONTH(DATE(YEAR(Supuestos!$C$8),MONTH(Supuestos!$C$8)+(20)-1,1)),"ene","feb","mar","abr","may","jun","jul","ago","sep","oct","nov","dic")&amp;" "&amp;YEAR(DATE(YEAR(Supuestos!$C$8),MONTH(Supuestos!$C$8)+(20)-1,1))</f>
        <v>Mes 20  ·  abr 2029</v>
      </c>
      <c r="C75" s="74">
        <f>'Previsión 36 meses'!$J$52</f>
        <v>596</v>
      </c>
      <c r="D75" s="72">
        <f t="shared" si="54"/>
        <v>447</v>
      </c>
      <c r="E75" s="59">
        <f>'Previsión 36 meses'!$J$57</f>
        <v>26375.972399999999</v>
      </c>
      <c r="F75" s="59">
        <f>'Previsión 36 meses'!$J$69+'Previsión 36 meses'!$J$73</f>
        <v>19846.386668800002</v>
      </c>
      <c r="G75" s="59">
        <f>'Previsión 36 meses'!$J$74</f>
        <v>6529.5857311999971</v>
      </c>
      <c r="H75" s="59">
        <f>'Previsión 36 meses'!$J$80</f>
        <v>4202.4519570957673</v>
      </c>
      <c r="I75" s="76">
        <f>'Previsión 36 meses'!$J$81</f>
        <v>32351.689898540713</v>
      </c>
      <c r="J75" s="59">
        <f t="shared" si="3"/>
        <v>15631.562735999949</v>
      </c>
      <c r="M75" s="119">
        <v>20</v>
      </c>
      <c r="N75" s="123">
        <f>IF($M75&lt;=12,INDEX(Supuestos!$C$55:$C$66,$M75)+IF($M75=1,Supuestos!$C$52,0),IF($M75&lt;=24,Supuestos!$C$69,Supuestos!$C$70)*IFERROR(INDEX(Supuestos!$C$55:$C$66,MOD($M75-1,12)+1)/AVERAGE(Supuestos!$C$55:$C$66),1))</f>
        <v>27.881548974943051</v>
      </c>
      <c r="O75" s="123">
        <f>Supuestos!$C$45*Supuestos!$F$14*(1+Supuestos!$C$112)^INT(($M75-1)/12)*(1-Supuestos!$C$98)</f>
        <v>37.202547199999998</v>
      </c>
      <c r="P75" s="123">
        <f>(Supuestos!$C$48+Supuestos!$C$49)*(1+Supuestos!$C$112)^INT(($M75-1)/12)*(1-Supuestos!$C$98-Supuestos!$C$99)</f>
        <v>2.7510999999999997</v>
      </c>
      <c r="Q75" s="123">
        <f>Supuestos!$C$47*(1+Supuestos!$C$112)^INT(($M75-1)/12)*(1-Supuestos!$C$98)</f>
        <v>20.254000000000001</v>
      </c>
      <c r="R75" s="120">
        <f>'Previsión 36 meses'!$J$69</f>
        <v>17849.900000000001</v>
      </c>
      <c r="S75" s="120">
        <f t="shared" si="0"/>
        <v>32351.689898540713</v>
      </c>
      <c r="T75" s="120">
        <f t="shared" si="1"/>
        <v>0</v>
      </c>
      <c r="U75" s="22" t="str">
        <f>CHOOSE(MONTH(DATE(YEAR(Supuestos!$C$8),MONTH(Supuestos!$C$8)+(20)-1,1)),"ene","feb","mar","abr","may","jun","jul","ago","sep","oct","nov","dic")&amp;" "&amp;RIGHT(YEAR(DATE(YEAR(Supuestos!$C$8),MONTH(Supuestos!$C$8)+(20)-1,1)),2)</f>
        <v>abr 29</v>
      </c>
      <c r="V75" s="121">
        <f>IF(AND(Supuestos!$C$33&gt;0,J75&gt;=Supuestos!$C$33),1,0)</f>
        <v>0</v>
      </c>
      <c r="X75" s="124">
        <f>X74+Y75-MIN(X74,ROUND(X74*Supuestos!$C$71*Supuestos!$F$13,0))</f>
        <v>478</v>
      </c>
      <c r="Y75" s="124">
        <f>MAX(0,MIN(ROUND(Supuestos!$F$12*(1+X$53)*$N75,0),IF(Supuestos!$C$72&gt;0,Supuestos!$C$72-X74+MIN(X74,ROUND(X74*Supuestos!$C$71*Supuestos!$F$13,0)),ROUND(Supuestos!$F$12*(1+X$53)*$N75,0))))</f>
        <v>22</v>
      </c>
      <c r="Z75" s="124">
        <f t="shared" si="4"/>
        <v>-84.75039456000377</v>
      </c>
      <c r="AA75" s="124">
        <f t="shared" si="5"/>
        <v>0</v>
      </c>
      <c r="AB75" s="124">
        <f>AB74+AC75-MIN(AB74,ROUND(AB74*Supuestos!$C$71*Supuestos!$F$13,0))</f>
        <v>478</v>
      </c>
      <c r="AC75" s="124">
        <f>MAX(0,MIN(ROUND(Supuestos!$F$12*(1+AB$53)*$N75,0),IF(Supuestos!$C$72&gt;0,Supuestos!$C$72-AB74+MIN(AB74,ROUND(AB74*Supuestos!$C$71*Supuestos!$F$13,0)),ROUND(Supuestos!$F$12*(1+AB$53)*$N75,0))))</f>
        <v>22</v>
      </c>
      <c r="AD75" s="124">
        <f t="shared" si="6"/>
        <v>804.39048351999736</v>
      </c>
      <c r="AE75" s="124">
        <f t="shared" si="7"/>
        <v>1</v>
      </c>
      <c r="AF75" s="124">
        <f>AF74+AG75-MIN(AF74,ROUND(AF74*Supuestos!$C$71*Supuestos!$F$13,0))</f>
        <v>478</v>
      </c>
      <c r="AG75" s="124">
        <f>MAX(0,MIN(ROUND(Supuestos!$F$12*(1+AF$53)*$N75,0),IF(Supuestos!$C$72&gt;0,Supuestos!$C$72-AF74+MIN(AF74,ROUND(AF74*Supuestos!$C$71*Supuestos!$F$13,0)),ROUND(Supuestos!$F$12*(1+AF$53)*$N75,0))))</f>
        <v>22</v>
      </c>
      <c r="AH75" s="124">
        <f t="shared" si="8"/>
        <v>1693.5313615999985</v>
      </c>
      <c r="AI75" s="124">
        <f t="shared" si="9"/>
        <v>1</v>
      </c>
      <c r="AJ75" s="124">
        <f>AJ74+AK75-MIN(AJ74,ROUND(AJ74*Supuestos!$C$71*Supuestos!$F$13,0))</f>
        <v>478</v>
      </c>
      <c r="AK75" s="124">
        <f>MAX(0,MIN(ROUND(Supuestos!$F$12*(1+AJ$53)*$N75,0),IF(Supuestos!$C$72&gt;0,Supuestos!$C$72-AJ74+MIN(AJ74,ROUND(AJ74*Supuestos!$C$71*Supuestos!$F$13,0)),ROUND(Supuestos!$F$12*(1+AJ$53)*$N75,0))))</f>
        <v>22</v>
      </c>
      <c r="AL75" s="124">
        <f t="shared" si="10"/>
        <v>2582.672239679996</v>
      </c>
      <c r="AM75" s="124">
        <f t="shared" si="11"/>
        <v>1</v>
      </c>
      <c r="AN75" s="124">
        <f>AN74+AO75-MIN(AN74,ROUND(AN74*Supuestos!$C$71*Supuestos!$F$13,0))</f>
        <v>478</v>
      </c>
      <c r="AO75" s="124">
        <f>MAX(0,MIN(ROUND(Supuestos!$F$12*(1+AN$53)*$N75,0),IF(Supuestos!$C$72&gt;0,Supuestos!$C$72-AN74+MIN(AN74,ROUND(AN74*Supuestos!$C$71*Supuestos!$F$13,0)),ROUND(Supuestos!$F$12*(1+AN$53)*$N75,0))))</f>
        <v>22</v>
      </c>
      <c r="AP75" s="124">
        <f t="shared" si="12"/>
        <v>3471.8131177599971</v>
      </c>
      <c r="AQ75" s="124">
        <f t="shared" si="13"/>
        <v>1</v>
      </c>
      <c r="AR75" s="124">
        <f>AR74+AS75-MIN(AR74,ROUND(AR74*Supuestos!$C$71*Supuestos!$F$13,0))</f>
        <v>536</v>
      </c>
      <c r="AS75" s="124">
        <f>MAX(0,MIN(ROUND(Supuestos!$F$12*(1+AR$53)*$N75,0),IF(Supuestos!$C$72&gt;0,Supuestos!$C$72-AR74+MIN(AR74,ROUND(AR74*Supuestos!$C$71*Supuestos!$F$13,0)),ROUND(Supuestos!$F$12*(1+AR$53)*$N75,0))))</f>
        <v>25</v>
      </c>
      <c r="AT75" s="124">
        <f t="shared" si="14"/>
        <v>2077.5483692799971</v>
      </c>
      <c r="AU75" s="124">
        <f t="shared" si="15"/>
        <v>1</v>
      </c>
      <c r="AV75" s="124">
        <f>AV74+AW75-MIN(AV74,ROUND(AV74*Supuestos!$C$71*Supuestos!$F$13,0))</f>
        <v>536</v>
      </c>
      <c r="AW75" s="124">
        <f>MAX(0,MIN(ROUND(Supuestos!$F$12*(1+AV$53)*$N75,0),IF(Supuestos!$C$72&gt;0,Supuestos!$C$72-AV74+MIN(AV74,ROUND(AV74*Supuestos!$C$71*Supuestos!$F$13,0)),ROUND(Supuestos!$F$12*(1+AV$53)*$N75,0))))</f>
        <v>25</v>
      </c>
      <c r="AX75" s="124">
        <f t="shared" si="16"/>
        <v>3074.5766342399947</v>
      </c>
      <c r="AY75" s="124">
        <f t="shared" si="17"/>
        <v>1</v>
      </c>
      <c r="AZ75" s="124">
        <f>AZ74+BA75-MIN(AZ74,ROUND(AZ74*Supuestos!$C$71*Supuestos!$F$13,0))</f>
        <v>536</v>
      </c>
      <c r="BA75" s="124">
        <f>MAX(0,MIN(ROUND(Supuestos!$F$12*(1+AZ$53)*$N75,0),IF(Supuestos!$C$72&gt;0,Supuestos!$C$72-AZ74+MIN(AZ74,ROUND(AZ74*Supuestos!$C$71*Supuestos!$F$13,0)),ROUND(Supuestos!$F$12*(1+AZ$53)*$N75,0))))</f>
        <v>25</v>
      </c>
      <c r="BB75" s="124">
        <f t="shared" si="18"/>
        <v>4071.604899199996</v>
      </c>
      <c r="BC75" s="124">
        <f t="shared" si="19"/>
        <v>1</v>
      </c>
      <c r="BD75" s="124">
        <f>BD74+BE75-MIN(BD74,ROUND(BD74*Supuestos!$C$71*Supuestos!$F$13,0))</f>
        <v>536</v>
      </c>
      <c r="BE75" s="124">
        <f>MAX(0,MIN(ROUND(Supuestos!$F$12*(1+BD$53)*$N75,0),IF(Supuestos!$C$72&gt;0,Supuestos!$C$72-BD74+MIN(BD74,ROUND(BD74*Supuestos!$C$71*Supuestos!$F$13,0)),ROUND(Supuestos!$F$12*(1+BD$53)*$N75,0))))</f>
        <v>25</v>
      </c>
      <c r="BF75" s="124">
        <f t="shared" si="20"/>
        <v>5068.6331641599972</v>
      </c>
      <c r="BG75" s="124">
        <f t="shared" si="21"/>
        <v>1</v>
      </c>
      <c r="BH75" s="124">
        <f>BH74+BI75-MIN(BH74,ROUND(BH74*Supuestos!$C$71*Supuestos!$F$13,0))</f>
        <v>536</v>
      </c>
      <c r="BI75" s="124">
        <f>MAX(0,MIN(ROUND(Supuestos!$F$12*(1+BH$53)*$N75,0),IF(Supuestos!$C$72&gt;0,Supuestos!$C$72-BH74+MIN(BH74,ROUND(BH74*Supuestos!$C$71*Supuestos!$F$13,0)),ROUND(Supuestos!$F$12*(1+BH$53)*$N75,0))))</f>
        <v>25</v>
      </c>
      <c r="BJ75" s="124">
        <f t="shared" si="22"/>
        <v>6065.6614291199949</v>
      </c>
      <c r="BK75" s="124">
        <f t="shared" si="23"/>
        <v>1</v>
      </c>
      <c r="BL75" s="124">
        <f>BL74+BM75-MIN(BL74,ROUND(BL74*Supuestos!$C$71*Supuestos!$F$13,0))</f>
        <v>596</v>
      </c>
      <c r="BM75" s="124">
        <f>MAX(0,MIN(ROUND(Supuestos!$F$12*(1+BL$53)*$N75,0),IF(Supuestos!$C$72&gt;0,Supuestos!$C$72-BL74+MIN(BL74,ROUND(BL74*Supuestos!$C$71*Supuestos!$F$13,0)),ROUND(Supuestos!$F$12*(1+BL$53)*$N75,0))))</f>
        <v>28</v>
      </c>
      <c r="BN75" s="124">
        <f t="shared" si="24"/>
        <v>4312.313918079999</v>
      </c>
      <c r="BO75" s="124">
        <f t="shared" si="25"/>
        <v>1</v>
      </c>
      <c r="BP75" s="124">
        <f>BP74+BQ75-MIN(BP74,ROUND(BP74*Supuestos!$C$71*Supuestos!$F$13,0))</f>
        <v>596</v>
      </c>
      <c r="BQ75" s="124">
        <f>MAX(0,MIN(ROUND(Supuestos!$F$12*(1+BP$53)*$N75,0),IF(Supuestos!$C$72&gt;0,Supuestos!$C$72-BP74+MIN(BP74,ROUND(BP74*Supuestos!$C$71*Supuestos!$F$13,0)),ROUND(Supuestos!$F$12*(1+BP$53)*$N75,0))))</f>
        <v>28</v>
      </c>
      <c r="BR75" s="124">
        <f t="shared" si="26"/>
        <v>5420.9498246399999</v>
      </c>
      <c r="BS75" s="124">
        <f t="shared" si="27"/>
        <v>1</v>
      </c>
      <c r="BT75" s="124">
        <f>BT74+BU75-MIN(BT74,ROUND(BT74*Supuestos!$C$71*Supuestos!$F$13,0))</f>
        <v>596</v>
      </c>
      <c r="BU75" s="124">
        <f>MAX(0,MIN(ROUND(Supuestos!$F$12*(1+BT$53)*$N75,0),IF(Supuestos!$C$72&gt;0,Supuestos!$C$72-BT74+MIN(BT74,ROUND(BT74*Supuestos!$C$71*Supuestos!$F$13,0)),ROUND(Supuestos!$F$12*(1+BT$53)*$N75,0))))</f>
        <v>28</v>
      </c>
      <c r="BV75" s="124">
        <f t="shared" si="28"/>
        <v>6529.5857311999971</v>
      </c>
      <c r="BW75" s="124">
        <f t="shared" si="29"/>
        <v>1</v>
      </c>
      <c r="BX75" s="124">
        <f>BX74+BY75-MIN(BX74,ROUND(BX74*Supuestos!$C$71*Supuestos!$F$13,0))</f>
        <v>596</v>
      </c>
      <c r="BY75" s="124">
        <f>MAX(0,MIN(ROUND(Supuestos!$F$12*(1+BX$53)*$N75,0),IF(Supuestos!$C$72&gt;0,Supuestos!$C$72-BX74+MIN(BX74,ROUND(BX74*Supuestos!$C$71*Supuestos!$F$13,0)),ROUND(Supuestos!$F$12*(1+BX$53)*$N75,0))))</f>
        <v>28</v>
      </c>
      <c r="BZ75" s="124">
        <f t="shared" si="30"/>
        <v>7638.221637759998</v>
      </c>
      <c r="CA75" s="124">
        <f t="shared" si="31"/>
        <v>1</v>
      </c>
      <c r="CB75" s="124">
        <f>CB74+CC75-MIN(CB74,ROUND(CB74*Supuestos!$C$71*Supuestos!$F$13,0))</f>
        <v>596</v>
      </c>
      <c r="CC75" s="124">
        <f>MAX(0,MIN(ROUND(Supuestos!$F$12*(1+CB$53)*$N75,0),IF(Supuestos!$C$72&gt;0,Supuestos!$C$72-CB74+MIN(CB74,ROUND(CB74*Supuestos!$C$71*Supuestos!$F$13,0)),ROUND(Supuestos!$F$12*(1+CB$53)*$N75,0))))</f>
        <v>28</v>
      </c>
      <c r="CD75" s="124">
        <f t="shared" si="32"/>
        <v>8746.8575443199989</v>
      </c>
      <c r="CE75" s="124">
        <f t="shared" si="33"/>
        <v>1</v>
      </c>
      <c r="CF75" s="124">
        <f>CF74+CG75-MIN(CF74,ROUND(CF74*Supuestos!$C$71*Supuestos!$F$13,0))</f>
        <v>656</v>
      </c>
      <c r="CG75" s="124">
        <f>MAX(0,MIN(ROUND(Supuestos!$F$12*(1+CF$53)*$N75,0),IF(Supuestos!$C$72&gt;0,Supuestos!$C$72-CF74+MIN(CF74,ROUND(CF74*Supuestos!$C$71*Supuestos!$F$13,0)),ROUND(Supuestos!$F$12*(1+CF$53)*$N75,0))))</f>
        <v>31</v>
      </c>
      <c r="CH75" s="124">
        <f t="shared" si="34"/>
        <v>6547.0794668799972</v>
      </c>
      <c r="CI75" s="124">
        <f t="shared" si="35"/>
        <v>1</v>
      </c>
      <c r="CJ75" s="124">
        <f>CJ74+CK75-MIN(CJ74,ROUND(CJ74*Supuestos!$C$71*Supuestos!$F$13,0))</f>
        <v>656</v>
      </c>
      <c r="CK75" s="124">
        <f>MAX(0,MIN(ROUND(Supuestos!$F$12*(1+CJ$53)*$N75,0),IF(Supuestos!$C$72&gt;0,Supuestos!$C$72-CJ74+MIN(CJ74,ROUND(CJ74*Supuestos!$C$71*Supuestos!$F$13,0)),ROUND(Supuestos!$F$12*(1+CJ$53)*$N75,0))))</f>
        <v>31</v>
      </c>
      <c r="CL75" s="124">
        <f t="shared" si="36"/>
        <v>7767.3230150399977</v>
      </c>
      <c r="CM75" s="124">
        <f t="shared" si="37"/>
        <v>1</v>
      </c>
      <c r="CN75" s="124">
        <f>CN74+CO75-MIN(CN74,ROUND(CN74*Supuestos!$C$71*Supuestos!$F$13,0))</f>
        <v>656</v>
      </c>
      <c r="CO75" s="124">
        <f>MAX(0,MIN(ROUND(Supuestos!$F$12*(1+CN$53)*$N75,0),IF(Supuestos!$C$72&gt;0,Supuestos!$C$72-CN74+MIN(CN74,ROUND(CN74*Supuestos!$C$71*Supuestos!$F$13,0)),ROUND(Supuestos!$F$12*(1+CN$53)*$N75,0))))</f>
        <v>31</v>
      </c>
      <c r="CP75" s="124">
        <f t="shared" si="38"/>
        <v>8987.5665631999982</v>
      </c>
      <c r="CQ75" s="124">
        <f t="shared" si="39"/>
        <v>1</v>
      </c>
      <c r="CR75" s="124">
        <f>CR74+CS75-MIN(CR74,ROUND(CR74*Supuestos!$C$71*Supuestos!$F$13,0))</f>
        <v>656</v>
      </c>
      <c r="CS75" s="124">
        <f>MAX(0,MIN(ROUND(Supuestos!$F$12*(1+CR$53)*$N75,0),IF(Supuestos!$C$72&gt;0,Supuestos!$C$72-CR74+MIN(CR74,ROUND(CR74*Supuestos!$C$71*Supuestos!$F$13,0)),ROUND(Supuestos!$F$12*(1+CR$53)*$N75,0))))</f>
        <v>31</v>
      </c>
      <c r="CT75" s="124">
        <f t="shared" si="40"/>
        <v>10207.810111359999</v>
      </c>
      <c r="CU75" s="124">
        <f t="shared" si="41"/>
        <v>1</v>
      </c>
      <c r="CV75" s="124">
        <f>CV74+CW75-MIN(CV74,ROUND(CV74*Supuestos!$C$71*Supuestos!$F$13,0))</f>
        <v>656</v>
      </c>
      <c r="CW75" s="124">
        <f>MAX(0,MIN(ROUND(Supuestos!$F$12*(1+CV$53)*$N75,0),IF(Supuestos!$C$72&gt;0,Supuestos!$C$72-CV74+MIN(CV74,ROUND(CV74*Supuestos!$C$71*Supuestos!$F$13,0)),ROUND(Supuestos!$F$12*(1+CV$53)*$N75,0))))</f>
        <v>31</v>
      </c>
      <c r="CX75" s="124">
        <f t="shared" si="42"/>
        <v>11428.053659519999</v>
      </c>
      <c r="CY75" s="124">
        <f t="shared" si="43"/>
        <v>1</v>
      </c>
      <c r="CZ75" s="124">
        <f>CZ74+DA75-MIN(CZ74,ROUND(CZ74*Supuestos!$C$71*Supuestos!$F$13,0))</f>
        <v>714</v>
      </c>
      <c r="DA75" s="124">
        <f>MAX(0,MIN(ROUND(Supuestos!$F$12*(1+CZ$53)*$N75,0),IF(Supuestos!$C$72&gt;0,Supuestos!$C$72-CZ74+MIN(CZ74,ROUND(CZ74*Supuestos!$C$71*Supuestos!$F$13,0)),ROUND(Supuestos!$F$12*(1+CZ$53)*$N75,0))))</f>
        <v>33</v>
      </c>
      <c r="DB75" s="124">
        <f t="shared" si="44"/>
        <v>8689.1242307200009</v>
      </c>
      <c r="DC75" s="124">
        <f t="shared" si="45"/>
        <v>1</v>
      </c>
      <c r="DD75" s="124">
        <f>DD74+DE75-MIN(DD74,ROUND(DD74*Supuestos!$C$71*Supuestos!$F$13,0))</f>
        <v>714</v>
      </c>
      <c r="DE75" s="124">
        <f>MAX(0,MIN(ROUND(Supuestos!$F$12*(1+DD$53)*$N75,0),IF(Supuestos!$C$72&gt;0,Supuestos!$C$72-DD74+MIN(DD74,ROUND(DD74*Supuestos!$C$71*Supuestos!$F$13,0)),ROUND(Supuestos!$F$12*(1+DD$53)*$N75,0))))</f>
        <v>33</v>
      </c>
      <c r="DF75" s="124">
        <f t="shared" si="46"/>
        <v>10017.255165759998</v>
      </c>
      <c r="DG75" s="124">
        <f t="shared" si="47"/>
        <v>1</v>
      </c>
      <c r="DH75" s="124">
        <f>DH74+DI75-MIN(DH74,ROUND(DH74*Supuestos!$C$71*Supuestos!$F$13,0))</f>
        <v>714</v>
      </c>
      <c r="DI75" s="124">
        <f>MAX(0,MIN(ROUND(Supuestos!$F$12*(1+DH$53)*$N75,0),IF(Supuestos!$C$72&gt;0,Supuestos!$C$72-DH74+MIN(DH74,ROUND(DH74*Supuestos!$C$71*Supuestos!$F$13,0)),ROUND(Supuestos!$F$12*(1+DH$53)*$N75,0))))</f>
        <v>33</v>
      </c>
      <c r="DJ75" s="124">
        <f t="shared" si="48"/>
        <v>11345.386100799999</v>
      </c>
      <c r="DK75" s="124">
        <f t="shared" si="49"/>
        <v>1</v>
      </c>
      <c r="DL75" s="124">
        <f>DL74+DM75-MIN(DL74,ROUND(DL74*Supuestos!$C$71*Supuestos!$F$13,0))</f>
        <v>714</v>
      </c>
      <c r="DM75" s="124">
        <f>MAX(0,MIN(ROUND(Supuestos!$F$12*(1+DL$53)*$N75,0),IF(Supuestos!$C$72&gt;0,Supuestos!$C$72-DL74+MIN(DL74,ROUND(DL74*Supuestos!$C$71*Supuestos!$F$13,0)),ROUND(Supuestos!$F$12*(1+DL$53)*$N75,0))))</f>
        <v>33</v>
      </c>
      <c r="DN75" s="124">
        <f t="shared" si="50"/>
        <v>12673.517035839999</v>
      </c>
      <c r="DO75" s="124">
        <f t="shared" si="51"/>
        <v>1</v>
      </c>
      <c r="DP75" s="124">
        <f>DP74+DQ75-MIN(DP74,ROUND(DP74*Supuestos!$C$71*Supuestos!$F$13,0))</f>
        <v>714</v>
      </c>
      <c r="DQ75" s="124">
        <f>MAX(0,MIN(ROUND(Supuestos!$F$12*(1+DP$53)*$N75,0),IF(Supuestos!$C$72&gt;0,Supuestos!$C$72-DP74+MIN(DP74,ROUND(DP74*Supuestos!$C$71*Supuestos!$F$13,0)),ROUND(Supuestos!$F$12*(1+DP$53)*$N75,0))))</f>
        <v>33</v>
      </c>
      <c r="DR75" s="124">
        <f t="shared" si="52"/>
        <v>14001.64797088</v>
      </c>
      <c r="DS75" s="124">
        <f t="shared" si="53"/>
        <v>1</v>
      </c>
    </row>
    <row r="76" spans="2:123" ht="13.5" customHeight="1" x14ac:dyDescent="0.2">
      <c r="B76" s="7" t="str">
        <f>"Mes 21  ·  "&amp;CHOOSE(MONTH(DATE(YEAR(Supuestos!$C$8),MONTH(Supuestos!$C$8)+(21)-1,1)),"ene","feb","mar","abr","may","jun","jul","ago","sep","oct","nov","dic")&amp;" "&amp;YEAR(DATE(YEAR(Supuestos!$C$8),MONTH(Supuestos!$C$8)+(21)-1,1))</f>
        <v>Mes 21  ·  may 2029</v>
      </c>
      <c r="C76" s="74">
        <f>'Previsión 36 meses'!$K$52</f>
        <v>600</v>
      </c>
      <c r="D76" s="72">
        <f t="shared" si="54"/>
        <v>447</v>
      </c>
      <c r="E76" s="59">
        <f>'Previsión 36 meses'!$K$57</f>
        <v>26549.139999999996</v>
      </c>
      <c r="F76" s="59">
        <f>'Previsión 36 meses'!$K$69+'Previsión 36 meses'!$K$73</f>
        <v>19859.739680000002</v>
      </c>
      <c r="G76" s="59">
        <f>'Previsión 36 meses'!$K$74</f>
        <v>6689.4003199999952</v>
      </c>
      <c r="H76" s="59">
        <f>'Previsión 36 meses'!$K$80</f>
        <v>4362.2665458957654</v>
      </c>
      <c r="I76" s="76">
        <f>'Previsión 36 meses'!$K$81</f>
        <v>36713.956444436481</v>
      </c>
      <c r="J76" s="59">
        <f t="shared" si="3"/>
        <v>22320.963055999942</v>
      </c>
      <c r="M76" s="119">
        <v>21</v>
      </c>
      <c r="N76" s="123">
        <f>IF($M76&lt;=12,INDEX(Supuestos!$C$55:$C$66,$M76)+IF($M76=1,Supuestos!$C$52,0),IF($M76&lt;=24,Supuestos!$C$69,Supuestos!$C$70)*IFERROR(INDEX(Supuestos!$C$55:$C$66,MOD($M76-1,12)+1)/AVERAGE(Supuestos!$C$55:$C$66),1))</f>
        <v>27.881548974943051</v>
      </c>
      <c r="O76" s="123">
        <f>Supuestos!$C$45*Supuestos!$F$14*(1+Supuestos!$C$112)^INT(($M76-1)/12)*(1-Supuestos!$C$98)</f>
        <v>37.202547199999998</v>
      </c>
      <c r="P76" s="123">
        <f>(Supuestos!$C$48+Supuestos!$C$49)*(1+Supuestos!$C$112)^INT(($M76-1)/12)*(1-Supuestos!$C$98-Supuestos!$C$99)</f>
        <v>2.7510999999999997</v>
      </c>
      <c r="Q76" s="123">
        <f>Supuestos!$C$47*(1+Supuestos!$C$112)^INT(($M76-1)/12)*(1-Supuestos!$C$98)</f>
        <v>20.254000000000001</v>
      </c>
      <c r="R76" s="120">
        <f>'Previsión 36 meses'!$K$69</f>
        <v>17849.900000000001</v>
      </c>
      <c r="S76" s="120">
        <f t="shared" si="0"/>
        <v>36713.956444436481</v>
      </c>
      <c r="T76" s="120">
        <f t="shared" si="1"/>
        <v>0</v>
      </c>
      <c r="U76" s="22" t="str">
        <f>CHOOSE(MONTH(DATE(YEAR(Supuestos!$C$8),MONTH(Supuestos!$C$8)+(21)-1,1)),"ene","feb","mar","abr","may","jun","jul","ago","sep","oct","nov","dic")&amp;" "&amp;RIGHT(YEAR(DATE(YEAR(Supuestos!$C$8),MONTH(Supuestos!$C$8)+(21)-1,1)),2)</f>
        <v>may 29</v>
      </c>
      <c r="V76" s="121">
        <f>IF(AND(Supuestos!$C$33&gt;0,J76&gt;=Supuestos!$C$33),1,0)</f>
        <v>0</v>
      </c>
      <c r="X76" s="124">
        <f>X75+Y76-MIN(X75,ROUND(X75*Supuestos!$C$71*Supuestos!$F$13,0))</f>
        <v>481</v>
      </c>
      <c r="Y76" s="124">
        <f>MAX(0,MIN(ROUND(Supuestos!$F$12*(1+X$53)*$N76,0),IF(Supuestos!$C$72&gt;0,Supuestos!$C$72-X75+MIN(X75,ROUND(X75*Supuestos!$C$71*Supuestos!$F$13,0)),ROUND(Supuestos!$F$12*(1+X$53)*$N76,0))))</f>
        <v>22</v>
      </c>
      <c r="Z76" s="124">
        <f t="shared" si="4"/>
        <v>23.949782879997656</v>
      </c>
      <c r="AA76" s="124">
        <f t="shared" si="5"/>
        <v>1</v>
      </c>
      <c r="AB76" s="124">
        <f>AB75+AC76-MIN(AB75,ROUND(AB75*Supuestos!$C$71*Supuestos!$F$13,0))</f>
        <v>481</v>
      </c>
      <c r="AC76" s="124">
        <f>MAX(0,MIN(ROUND(Supuestos!$F$12*(1+AB$53)*$N76,0),IF(Supuestos!$C$72&gt;0,Supuestos!$C$72-AB75+MIN(AB75,ROUND(AB75*Supuestos!$C$71*Supuestos!$F$13,0)),ROUND(Supuestos!$F$12*(1+AB$53)*$N76,0))))</f>
        <v>22</v>
      </c>
      <c r="AD76" s="124">
        <f t="shared" si="6"/>
        <v>918.67104303999804</v>
      </c>
      <c r="AE76" s="124">
        <f t="shared" si="7"/>
        <v>1</v>
      </c>
      <c r="AF76" s="124">
        <f>AF75+AG76-MIN(AF75,ROUND(AF75*Supuestos!$C$71*Supuestos!$F$13,0))</f>
        <v>481</v>
      </c>
      <c r="AG76" s="124">
        <f>MAX(0,MIN(ROUND(Supuestos!$F$12*(1+AF$53)*$N76,0),IF(Supuestos!$C$72&gt;0,Supuestos!$C$72-AF75+MIN(AF75,ROUND(AF75*Supuestos!$C$71*Supuestos!$F$13,0)),ROUND(Supuestos!$F$12*(1+AF$53)*$N76,0))))</f>
        <v>22</v>
      </c>
      <c r="AH76" s="124">
        <f t="shared" si="8"/>
        <v>1813.3923031999984</v>
      </c>
      <c r="AI76" s="124">
        <f t="shared" si="9"/>
        <v>1</v>
      </c>
      <c r="AJ76" s="124">
        <f>AJ75+AK76-MIN(AJ75,ROUND(AJ75*Supuestos!$C$71*Supuestos!$F$13,0))</f>
        <v>481</v>
      </c>
      <c r="AK76" s="124">
        <f>MAX(0,MIN(ROUND(Supuestos!$F$12*(1+AJ$53)*$N76,0),IF(Supuestos!$C$72&gt;0,Supuestos!$C$72-AJ75+MIN(AJ75,ROUND(AJ75*Supuestos!$C$71*Supuestos!$F$13,0)),ROUND(Supuestos!$F$12*(1+AJ$53)*$N76,0))))</f>
        <v>22</v>
      </c>
      <c r="AL76" s="124">
        <f t="shared" si="10"/>
        <v>2708.1135633599988</v>
      </c>
      <c r="AM76" s="124">
        <f t="shared" si="11"/>
        <v>1</v>
      </c>
      <c r="AN76" s="124">
        <f>AN75+AO76-MIN(AN75,ROUND(AN75*Supuestos!$C$71*Supuestos!$F$13,0))</f>
        <v>481</v>
      </c>
      <c r="AO76" s="124">
        <f>MAX(0,MIN(ROUND(Supuestos!$F$12*(1+AN$53)*$N76,0),IF(Supuestos!$C$72&gt;0,Supuestos!$C$72-AN75+MIN(AN75,ROUND(AN75*Supuestos!$C$71*Supuestos!$F$13,0)),ROUND(Supuestos!$F$12*(1+AN$53)*$N76,0))))</f>
        <v>22</v>
      </c>
      <c r="AP76" s="124">
        <f t="shared" si="12"/>
        <v>3602.8348235199992</v>
      </c>
      <c r="AQ76" s="124">
        <f t="shared" si="13"/>
        <v>1</v>
      </c>
      <c r="AR76" s="124">
        <f>AR75+AS76-MIN(AR75,ROUND(AR75*Supuestos!$C$71*Supuestos!$F$13,0))</f>
        <v>540</v>
      </c>
      <c r="AS76" s="124">
        <f>MAX(0,MIN(ROUND(Supuestos!$F$12*(1+AR$53)*$N76,0),IF(Supuestos!$C$72&gt;0,Supuestos!$C$72-AR75+MIN(AR75,ROUND(AR75*Supuestos!$C$71*Supuestos!$F$13,0)),ROUND(Supuestos!$F$12*(1+AR$53)*$N76,0))))</f>
        <v>25</v>
      </c>
      <c r="AT76" s="124">
        <f t="shared" si="14"/>
        <v>2222.4819391999954</v>
      </c>
      <c r="AU76" s="124">
        <f t="shared" si="15"/>
        <v>1</v>
      </c>
      <c r="AV76" s="124">
        <f>AV75+AW76-MIN(AV75,ROUND(AV75*Supuestos!$C$71*Supuestos!$F$13,0))</f>
        <v>540</v>
      </c>
      <c r="AW76" s="124">
        <f>MAX(0,MIN(ROUND(Supuestos!$F$12*(1+AV$53)*$N76,0),IF(Supuestos!$C$72&gt;0,Supuestos!$C$72-AV75+MIN(AV75,ROUND(AV75*Supuestos!$C$71*Supuestos!$F$13,0)),ROUND(Supuestos!$F$12*(1+AV$53)*$N76,0))))</f>
        <v>25</v>
      </c>
      <c r="AX76" s="124">
        <f t="shared" si="16"/>
        <v>3226.9507135999957</v>
      </c>
      <c r="AY76" s="124">
        <f t="shared" si="17"/>
        <v>1</v>
      </c>
      <c r="AZ76" s="124">
        <f>AZ75+BA76-MIN(AZ75,ROUND(AZ75*Supuestos!$C$71*Supuestos!$F$13,0))</f>
        <v>540</v>
      </c>
      <c r="BA76" s="124">
        <f>MAX(0,MIN(ROUND(Supuestos!$F$12*(1+AZ$53)*$N76,0),IF(Supuestos!$C$72&gt;0,Supuestos!$C$72-AZ75+MIN(AZ75,ROUND(AZ75*Supuestos!$C$71*Supuestos!$F$13,0)),ROUND(Supuestos!$F$12*(1+AZ$53)*$N76,0))))</f>
        <v>25</v>
      </c>
      <c r="BB76" s="124">
        <f t="shared" si="18"/>
        <v>4231.4194879999959</v>
      </c>
      <c r="BC76" s="124">
        <f t="shared" si="19"/>
        <v>1</v>
      </c>
      <c r="BD76" s="124">
        <f>BD75+BE76-MIN(BD75,ROUND(BD75*Supuestos!$C$71*Supuestos!$F$13,0))</f>
        <v>540</v>
      </c>
      <c r="BE76" s="124">
        <f>MAX(0,MIN(ROUND(Supuestos!$F$12*(1+BD$53)*$N76,0),IF(Supuestos!$C$72&gt;0,Supuestos!$C$72-BD75+MIN(BD75,ROUND(BD75*Supuestos!$C$71*Supuestos!$F$13,0)),ROUND(Supuestos!$F$12*(1+BD$53)*$N76,0))))</f>
        <v>25</v>
      </c>
      <c r="BF76" s="124">
        <f t="shared" si="20"/>
        <v>5235.8882623999962</v>
      </c>
      <c r="BG76" s="124">
        <f t="shared" si="21"/>
        <v>1</v>
      </c>
      <c r="BH76" s="124">
        <f>BH75+BI76-MIN(BH75,ROUND(BH75*Supuestos!$C$71*Supuestos!$F$13,0))</f>
        <v>540</v>
      </c>
      <c r="BI76" s="124">
        <f>MAX(0,MIN(ROUND(Supuestos!$F$12*(1+BH$53)*$N76,0),IF(Supuestos!$C$72&gt;0,Supuestos!$C$72-BH75+MIN(BH75,ROUND(BH75*Supuestos!$C$71*Supuestos!$F$13,0)),ROUND(Supuestos!$F$12*(1+BH$53)*$N76,0))))</f>
        <v>25</v>
      </c>
      <c r="BJ76" s="124">
        <f t="shared" si="22"/>
        <v>6240.3570367999964</v>
      </c>
      <c r="BK76" s="124">
        <f t="shared" si="23"/>
        <v>1</v>
      </c>
      <c r="BL76" s="124">
        <f>BL75+BM76-MIN(BL75,ROUND(BL75*Supuestos!$C$71*Supuestos!$F$13,0))</f>
        <v>600</v>
      </c>
      <c r="BM76" s="124">
        <f>MAX(0,MIN(ROUND(Supuestos!$F$12*(1+BL$53)*$N76,0),IF(Supuestos!$C$72&gt;0,Supuestos!$C$72-BL75+MIN(BL75,ROUND(BL75*Supuestos!$C$71*Supuestos!$F$13,0)),ROUND(Supuestos!$F$12*(1+BL$53)*$N76,0))))</f>
        <v>28</v>
      </c>
      <c r="BN76" s="124">
        <f t="shared" si="24"/>
        <v>4457.2474879999972</v>
      </c>
      <c r="BO76" s="124">
        <f t="shared" si="25"/>
        <v>1</v>
      </c>
      <c r="BP76" s="124">
        <f>BP75+BQ76-MIN(BP75,ROUND(BP75*Supuestos!$C$71*Supuestos!$F$13,0))</f>
        <v>600</v>
      </c>
      <c r="BQ76" s="124">
        <f>MAX(0,MIN(ROUND(Supuestos!$F$12*(1+BP$53)*$N76,0),IF(Supuestos!$C$72&gt;0,Supuestos!$C$72-BP75+MIN(BP75,ROUND(BP75*Supuestos!$C$71*Supuestos!$F$13,0)),ROUND(Supuestos!$F$12*(1+BP$53)*$N76,0))))</f>
        <v>28</v>
      </c>
      <c r="BR76" s="124">
        <f t="shared" si="26"/>
        <v>5573.3239039999971</v>
      </c>
      <c r="BS76" s="124">
        <f t="shared" si="27"/>
        <v>1</v>
      </c>
      <c r="BT76" s="124">
        <f>BT75+BU76-MIN(BT75,ROUND(BT75*Supuestos!$C$71*Supuestos!$F$13,0))</f>
        <v>600</v>
      </c>
      <c r="BU76" s="124">
        <f>MAX(0,MIN(ROUND(Supuestos!$F$12*(1+BT$53)*$N76,0),IF(Supuestos!$C$72&gt;0,Supuestos!$C$72-BT75+MIN(BT75,ROUND(BT75*Supuestos!$C$71*Supuestos!$F$13,0)),ROUND(Supuestos!$F$12*(1+BT$53)*$N76,0))))</f>
        <v>28</v>
      </c>
      <c r="BV76" s="124">
        <f t="shared" si="28"/>
        <v>6689.4003200000006</v>
      </c>
      <c r="BW76" s="124">
        <f t="shared" si="29"/>
        <v>1</v>
      </c>
      <c r="BX76" s="124">
        <f>BX75+BY76-MIN(BX75,ROUND(BX75*Supuestos!$C$71*Supuestos!$F$13,0))</f>
        <v>600</v>
      </c>
      <c r="BY76" s="124">
        <f>MAX(0,MIN(ROUND(Supuestos!$F$12*(1+BX$53)*$N76,0),IF(Supuestos!$C$72&gt;0,Supuestos!$C$72-BX75+MIN(BX75,ROUND(BX75*Supuestos!$C$71*Supuestos!$F$13,0)),ROUND(Supuestos!$F$12*(1+BX$53)*$N76,0))))</f>
        <v>28</v>
      </c>
      <c r="BZ76" s="124">
        <f t="shared" si="30"/>
        <v>7805.4767360000005</v>
      </c>
      <c r="CA76" s="124">
        <f t="shared" si="31"/>
        <v>1</v>
      </c>
      <c r="CB76" s="124">
        <f>CB75+CC76-MIN(CB75,ROUND(CB75*Supuestos!$C$71*Supuestos!$F$13,0))</f>
        <v>600</v>
      </c>
      <c r="CC76" s="124">
        <f>MAX(0,MIN(ROUND(Supuestos!$F$12*(1+CB$53)*$N76,0),IF(Supuestos!$C$72&gt;0,Supuestos!$C$72-CB75+MIN(CB75,ROUND(CB75*Supuestos!$C$71*Supuestos!$F$13,0)),ROUND(Supuestos!$F$12*(1+CB$53)*$N76,0))))</f>
        <v>28</v>
      </c>
      <c r="CD76" s="124">
        <f t="shared" si="32"/>
        <v>8921.5531520000004</v>
      </c>
      <c r="CE76" s="124">
        <f t="shared" si="33"/>
        <v>1</v>
      </c>
      <c r="CF76" s="124">
        <f>CF75+CG76-MIN(CF75,ROUND(CF75*Supuestos!$C$71*Supuestos!$F$13,0))</f>
        <v>661</v>
      </c>
      <c r="CG76" s="124">
        <f>MAX(0,MIN(ROUND(Supuestos!$F$12*(1+CF$53)*$N76,0),IF(Supuestos!$C$72&gt;0,Supuestos!$C$72-CF75+MIN(CF75,ROUND(CF75*Supuestos!$C$71*Supuestos!$F$13,0)),ROUND(Supuestos!$F$12*(1+CF$53)*$N76,0))))</f>
        <v>31</v>
      </c>
      <c r="CH76" s="124">
        <f t="shared" si="34"/>
        <v>6728.2464292799996</v>
      </c>
      <c r="CI76" s="124">
        <f t="shared" si="35"/>
        <v>1</v>
      </c>
      <c r="CJ76" s="124">
        <f>CJ75+CK76-MIN(CJ75,ROUND(CJ75*Supuestos!$C$71*Supuestos!$F$13,0))</f>
        <v>661</v>
      </c>
      <c r="CK76" s="124">
        <f>MAX(0,MIN(ROUND(Supuestos!$F$12*(1+CJ$53)*$N76,0),IF(Supuestos!$C$72&gt;0,Supuestos!$C$72-CJ75+MIN(CJ75,ROUND(CJ75*Supuestos!$C$71*Supuestos!$F$13,0)),ROUND(Supuestos!$F$12*(1+CJ$53)*$N76,0))))</f>
        <v>31</v>
      </c>
      <c r="CL76" s="124">
        <f t="shared" si="36"/>
        <v>7957.7906142399988</v>
      </c>
      <c r="CM76" s="124">
        <f t="shared" si="37"/>
        <v>1</v>
      </c>
      <c r="CN76" s="124">
        <f>CN75+CO76-MIN(CN75,ROUND(CN75*Supuestos!$C$71*Supuestos!$F$13,0))</f>
        <v>661</v>
      </c>
      <c r="CO76" s="124">
        <f>MAX(0,MIN(ROUND(Supuestos!$F$12*(1+CN$53)*$N76,0),IF(Supuestos!$C$72&gt;0,Supuestos!$C$72-CN75+MIN(CN75,ROUND(CN75*Supuestos!$C$71*Supuestos!$F$13,0)),ROUND(Supuestos!$F$12*(1+CN$53)*$N76,0))))</f>
        <v>31</v>
      </c>
      <c r="CP76" s="124">
        <f t="shared" si="38"/>
        <v>9187.3347991999981</v>
      </c>
      <c r="CQ76" s="124">
        <f t="shared" si="39"/>
        <v>1</v>
      </c>
      <c r="CR76" s="124">
        <f>CR75+CS76-MIN(CR75,ROUND(CR75*Supuestos!$C$71*Supuestos!$F$13,0))</f>
        <v>661</v>
      </c>
      <c r="CS76" s="124">
        <f>MAX(0,MIN(ROUND(Supuestos!$F$12*(1+CR$53)*$N76,0),IF(Supuestos!$C$72&gt;0,Supuestos!$C$72-CR75+MIN(CR75,ROUND(CR75*Supuestos!$C$71*Supuestos!$F$13,0)),ROUND(Supuestos!$F$12*(1+CR$53)*$N76,0))))</f>
        <v>31</v>
      </c>
      <c r="CT76" s="124">
        <f t="shared" si="40"/>
        <v>10416.878984159997</v>
      </c>
      <c r="CU76" s="124">
        <f t="shared" si="41"/>
        <v>1</v>
      </c>
      <c r="CV76" s="124">
        <f>CV75+CW76-MIN(CV75,ROUND(CV75*Supuestos!$C$71*Supuestos!$F$13,0))</f>
        <v>661</v>
      </c>
      <c r="CW76" s="124">
        <f>MAX(0,MIN(ROUND(Supuestos!$F$12*(1+CV$53)*$N76,0),IF(Supuestos!$C$72&gt;0,Supuestos!$C$72-CV75+MIN(CV75,ROUND(CV75*Supuestos!$C$71*Supuestos!$F$13,0)),ROUND(Supuestos!$F$12*(1+CV$53)*$N76,0))))</f>
        <v>31</v>
      </c>
      <c r="CX76" s="124">
        <f t="shared" si="42"/>
        <v>11646.423169119997</v>
      </c>
      <c r="CY76" s="124">
        <f t="shared" si="43"/>
        <v>1</v>
      </c>
      <c r="CZ76" s="124">
        <f>CZ75+DA76-MIN(CZ75,ROUND(CZ75*Supuestos!$C$71*Supuestos!$F$13,0))</f>
        <v>718</v>
      </c>
      <c r="DA76" s="124">
        <f>MAX(0,MIN(ROUND(Supuestos!$F$12*(1+CZ$53)*$N76,0),IF(Supuestos!$C$72&gt;0,Supuestos!$C$72-CZ75+MIN(CZ75,ROUND(CZ75*Supuestos!$C$71*Supuestos!$F$13,0)),ROUND(Supuestos!$F$12*(1+CZ$53)*$N76,0))))</f>
        <v>33</v>
      </c>
      <c r="DB76" s="124">
        <f t="shared" si="44"/>
        <v>8834.0578006399992</v>
      </c>
      <c r="DC76" s="124">
        <f t="shared" si="45"/>
        <v>1</v>
      </c>
      <c r="DD76" s="124">
        <f>DD75+DE76-MIN(DD75,ROUND(DD75*Supuestos!$C$71*Supuestos!$F$13,0))</f>
        <v>718</v>
      </c>
      <c r="DE76" s="124">
        <f>MAX(0,MIN(ROUND(Supuestos!$F$12*(1+DD$53)*$N76,0),IF(Supuestos!$C$72&gt;0,Supuestos!$C$72-DD75+MIN(DD75,ROUND(DD75*Supuestos!$C$71*Supuestos!$F$13,0)),ROUND(Supuestos!$F$12*(1+DD$53)*$N76,0))))</f>
        <v>33</v>
      </c>
      <c r="DF76" s="124">
        <f t="shared" si="46"/>
        <v>10169.629245119999</v>
      </c>
      <c r="DG76" s="124">
        <f t="shared" si="47"/>
        <v>1</v>
      </c>
      <c r="DH76" s="124">
        <f>DH75+DI76-MIN(DH75,ROUND(DH75*Supuestos!$C$71*Supuestos!$F$13,0))</f>
        <v>718</v>
      </c>
      <c r="DI76" s="124">
        <f>MAX(0,MIN(ROUND(Supuestos!$F$12*(1+DH$53)*$N76,0),IF(Supuestos!$C$72&gt;0,Supuestos!$C$72-DH75+MIN(DH75,ROUND(DH75*Supuestos!$C$71*Supuestos!$F$13,0)),ROUND(Supuestos!$F$12*(1+DH$53)*$N76,0))))</f>
        <v>33</v>
      </c>
      <c r="DJ76" s="124">
        <f t="shared" si="48"/>
        <v>11505.200689599998</v>
      </c>
      <c r="DK76" s="124">
        <f t="shared" si="49"/>
        <v>1</v>
      </c>
      <c r="DL76" s="124">
        <f>DL75+DM76-MIN(DL75,ROUND(DL75*Supuestos!$C$71*Supuestos!$F$13,0))</f>
        <v>718</v>
      </c>
      <c r="DM76" s="124">
        <f>MAX(0,MIN(ROUND(Supuestos!$F$12*(1+DL$53)*$N76,0),IF(Supuestos!$C$72&gt;0,Supuestos!$C$72-DL75+MIN(DL75,ROUND(DL75*Supuestos!$C$71*Supuestos!$F$13,0)),ROUND(Supuestos!$F$12*(1+DL$53)*$N76,0))))</f>
        <v>33</v>
      </c>
      <c r="DN76" s="124">
        <f t="shared" si="50"/>
        <v>12840.772134079998</v>
      </c>
      <c r="DO76" s="124">
        <f t="shared" si="51"/>
        <v>1</v>
      </c>
      <c r="DP76" s="124">
        <f>DP75+DQ76-MIN(DP75,ROUND(DP75*Supuestos!$C$71*Supuestos!$F$13,0))</f>
        <v>718</v>
      </c>
      <c r="DQ76" s="124">
        <f>MAX(0,MIN(ROUND(Supuestos!$F$12*(1+DP$53)*$N76,0),IF(Supuestos!$C$72&gt;0,Supuestos!$C$72-DP75+MIN(DP75,ROUND(DP75*Supuestos!$C$71*Supuestos!$F$13,0)),ROUND(Supuestos!$F$12*(1+DP$53)*$N76,0))))</f>
        <v>33</v>
      </c>
      <c r="DR76" s="124">
        <f t="shared" si="52"/>
        <v>14176.343578559998</v>
      </c>
      <c r="DS76" s="124">
        <f t="shared" si="53"/>
        <v>1</v>
      </c>
    </row>
    <row r="77" spans="2:123" ht="13.5" customHeight="1" x14ac:dyDescent="0.2">
      <c r="B77" s="7" t="str">
        <f>"Mes 22  ·  "&amp;CHOOSE(MONTH(DATE(YEAR(Supuestos!$C$8),MONTH(Supuestos!$C$8)+(22)-1,1)),"ene","feb","mar","abr","may","jun","jul","ago","sep","oct","nov","dic")&amp;" "&amp;YEAR(DATE(YEAR(Supuestos!$C$8),MONTH(Supuestos!$C$8)+(22)-1,1))</f>
        <v>Mes 22  ·  jun 2029</v>
      </c>
      <c r="C77" s="74">
        <f>'Previsión 36 meses'!$L$52</f>
        <v>596</v>
      </c>
      <c r="D77" s="72">
        <f t="shared" si="54"/>
        <v>447</v>
      </c>
      <c r="E77" s="59">
        <f>'Previsión 36 meses'!$L$57</f>
        <v>26211.972399999999</v>
      </c>
      <c r="F77" s="59">
        <f>'Previsión 36 meses'!$L$69+'Previsión 36 meses'!$L$73</f>
        <v>19844.418668800001</v>
      </c>
      <c r="G77" s="59">
        <f>'Previsión 36 meses'!$L$74</f>
        <v>6367.5537311999979</v>
      </c>
      <c r="H77" s="59">
        <f>'Previsión 36 meses'!$L$80</f>
        <v>4040.4199570957676</v>
      </c>
      <c r="I77" s="76">
        <f>'Previsión 36 meses'!$L$81</f>
        <v>40754.376401532245</v>
      </c>
      <c r="J77" s="59">
        <f t="shared" si="3"/>
        <v>28688.51678719994</v>
      </c>
      <c r="M77" s="119">
        <v>22</v>
      </c>
      <c r="N77" s="123">
        <f>IF($M77&lt;=12,INDEX(Supuestos!$C$55:$C$66,$M77)+IF($M77=1,Supuestos!$C$52,0),IF($M77&lt;=24,Supuestos!$C$69,Supuestos!$C$70)*IFERROR(INDEX(Supuestos!$C$55:$C$66,MOD($M77-1,12)+1)/AVERAGE(Supuestos!$C$55:$C$66),1))</f>
        <v>20.446469248291571</v>
      </c>
      <c r="O77" s="123">
        <f>Supuestos!$C$45*Supuestos!$F$14*(1+Supuestos!$C$112)^INT(($M77-1)/12)*(1-Supuestos!$C$98)</f>
        <v>37.202547199999998</v>
      </c>
      <c r="P77" s="123">
        <f>(Supuestos!$C$48+Supuestos!$C$49)*(1+Supuestos!$C$112)^INT(($M77-1)/12)*(1-Supuestos!$C$98-Supuestos!$C$99)</f>
        <v>2.7510999999999997</v>
      </c>
      <c r="Q77" s="123">
        <f>Supuestos!$C$47*(1+Supuestos!$C$112)^INT(($M77-1)/12)*(1-Supuestos!$C$98)</f>
        <v>20.254000000000001</v>
      </c>
      <c r="R77" s="120">
        <f>'Previsión 36 meses'!$L$69</f>
        <v>17849.900000000001</v>
      </c>
      <c r="S77" s="120">
        <f t="shared" si="0"/>
        <v>40754.376401532245</v>
      </c>
      <c r="T77" s="120">
        <f t="shared" si="1"/>
        <v>0</v>
      </c>
      <c r="U77" s="22" t="str">
        <f>CHOOSE(MONTH(DATE(YEAR(Supuestos!$C$8),MONTH(Supuestos!$C$8)+(22)-1,1)),"ene","feb","mar","abr","may","jun","jul","ago","sep","oct","nov","dic")&amp;" "&amp;RIGHT(YEAR(DATE(YEAR(Supuestos!$C$8),MONTH(Supuestos!$C$8)+(22)-1,1)),2)</f>
        <v>jun 29</v>
      </c>
      <c r="V77" s="121">
        <f>IF(AND(Supuestos!$C$33&gt;0,J77&gt;=Supuestos!$C$33),1,0)</f>
        <v>0</v>
      </c>
      <c r="X77" s="124">
        <f>X76+Y77-MIN(X76,ROUND(X76*Supuestos!$C$71*Supuestos!$F$13,0))</f>
        <v>478</v>
      </c>
      <c r="Y77" s="124">
        <f>MAX(0,MIN(ROUND(Supuestos!$F$12*(1+X$53)*$N77,0),IF(Supuestos!$C$72&gt;0,Supuestos!$C$72-X76+MIN(X76,ROUND(X76*Supuestos!$C$71*Supuestos!$F$13,0)),ROUND(Supuestos!$F$12*(1+X$53)*$N77,0))))</f>
        <v>16</v>
      </c>
      <c r="Z77" s="124">
        <f t="shared" si="4"/>
        <v>-206.27439456000502</v>
      </c>
      <c r="AA77" s="124">
        <f t="shared" si="5"/>
        <v>0</v>
      </c>
      <c r="AB77" s="124">
        <f>AB76+AC77-MIN(AB76,ROUND(AB76*Supuestos!$C$71*Supuestos!$F$13,0))</f>
        <v>478</v>
      </c>
      <c r="AC77" s="124">
        <f>MAX(0,MIN(ROUND(Supuestos!$F$12*(1+AB$53)*$N77,0),IF(Supuestos!$C$72&gt;0,Supuestos!$C$72-AB76+MIN(AB76,ROUND(AB76*Supuestos!$C$71*Supuestos!$F$13,0)),ROUND(Supuestos!$F$12*(1+AB$53)*$N77,0))))</f>
        <v>16</v>
      </c>
      <c r="AD77" s="124">
        <f t="shared" si="6"/>
        <v>682.86648351999611</v>
      </c>
      <c r="AE77" s="124">
        <f t="shared" si="7"/>
        <v>1</v>
      </c>
      <c r="AF77" s="124">
        <f>AF76+AG77-MIN(AF76,ROUND(AF76*Supuestos!$C$71*Supuestos!$F$13,0))</f>
        <v>478</v>
      </c>
      <c r="AG77" s="124">
        <f>MAX(0,MIN(ROUND(Supuestos!$F$12*(1+AF$53)*$N77,0),IF(Supuestos!$C$72&gt;0,Supuestos!$C$72-AF76+MIN(AF76,ROUND(AF76*Supuestos!$C$71*Supuestos!$F$13,0)),ROUND(Supuestos!$F$12*(1+AF$53)*$N77,0))))</f>
        <v>16</v>
      </c>
      <c r="AH77" s="124">
        <f t="shared" si="8"/>
        <v>1572.0073615999972</v>
      </c>
      <c r="AI77" s="124">
        <f t="shared" si="9"/>
        <v>1</v>
      </c>
      <c r="AJ77" s="124">
        <f>AJ76+AK77-MIN(AJ76,ROUND(AJ76*Supuestos!$C$71*Supuestos!$F$13,0))</f>
        <v>478</v>
      </c>
      <c r="AK77" s="124">
        <f>MAX(0,MIN(ROUND(Supuestos!$F$12*(1+AJ$53)*$N77,0),IF(Supuestos!$C$72&gt;0,Supuestos!$C$72-AJ76+MIN(AJ76,ROUND(AJ76*Supuestos!$C$71*Supuestos!$F$13,0)),ROUND(Supuestos!$F$12*(1+AJ$53)*$N77,0))))</f>
        <v>16</v>
      </c>
      <c r="AL77" s="124">
        <f t="shared" si="10"/>
        <v>2461.1482396799947</v>
      </c>
      <c r="AM77" s="124">
        <f t="shared" si="11"/>
        <v>1</v>
      </c>
      <c r="AN77" s="124">
        <f>AN76+AO77-MIN(AN76,ROUND(AN76*Supuestos!$C$71*Supuestos!$F$13,0))</f>
        <v>478</v>
      </c>
      <c r="AO77" s="124">
        <f>MAX(0,MIN(ROUND(Supuestos!$F$12*(1+AN$53)*$N77,0),IF(Supuestos!$C$72&gt;0,Supuestos!$C$72-AN76+MIN(AN76,ROUND(AN76*Supuestos!$C$71*Supuestos!$F$13,0)),ROUND(Supuestos!$F$12*(1+AN$53)*$N77,0))))</f>
        <v>16</v>
      </c>
      <c r="AP77" s="124">
        <f t="shared" si="12"/>
        <v>3350.2891177599959</v>
      </c>
      <c r="AQ77" s="124">
        <f t="shared" si="13"/>
        <v>1</v>
      </c>
      <c r="AR77" s="124">
        <f>AR76+AS77-MIN(AR76,ROUND(AR76*Supuestos!$C$71*Supuestos!$F$13,0))</f>
        <v>536</v>
      </c>
      <c r="AS77" s="124">
        <f>MAX(0,MIN(ROUND(Supuestos!$F$12*(1+AR$53)*$N77,0),IF(Supuestos!$C$72&gt;0,Supuestos!$C$72-AR76+MIN(AR76,ROUND(AR76*Supuestos!$C$71*Supuestos!$F$13,0)),ROUND(Supuestos!$F$12*(1+AR$53)*$N77,0))))</f>
        <v>18</v>
      </c>
      <c r="AT77" s="124">
        <f t="shared" si="14"/>
        <v>1935.7703692799987</v>
      </c>
      <c r="AU77" s="124">
        <f t="shared" si="15"/>
        <v>1</v>
      </c>
      <c r="AV77" s="124">
        <f>AV76+AW77-MIN(AV76,ROUND(AV76*Supuestos!$C$71*Supuestos!$F$13,0))</f>
        <v>536</v>
      </c>
      <c r="AW77" s="124">
        <f>MAX(0,MIN(ROUND(Supuestos!$F$12*(1+AV$53)*$N77,0),IF(Supuestos!$C$72&gt;0,Supuestos!$C$72-AV76+MIN(AV76,ROUND(AV76*Supuestos!$C$71*Supuestos!$F$13,0)),ROUND(Supuestos!$F$12*(1+AV$53)*$N77,0))))</f>
        <v>18</v>
      </c>
      <c r="AX77" s="124">
        <f t="shared" si="16"/>
        <v>2932.7986342399963</v>
      </c>
      <c r="AY77" s="124">
        <f t="shared" si="17"/>
        <v>1</v>
      </c>
      <c r="AZ77" s="124">
        <f>AZ76+BA77-MIN(AZ76,ROUND(AZ76*Supuestos!$C$71*Supuestos!$F$13,0))</f>
        <v>536</v>
      </c>
      <c r="BA77" s="124">
        <f>MAX(0,MIN(ROUND(Supuestos!$F$12*(1+AZ$53)*$N77,0),IF(Supuestos!$C$72&gt;0,Supuestos!$C$72-AZ76+MIN(AZ76,ROUND(AZ76*Supuestos!$C$71*Supuestos!$F$13,0)),ROUND(Supuestos!$F$12*(1+AZ$53)*$N77,0))))</f>
        <v>18</v>
      </c>
      <c r="BB77" s="124">
        <f t="shared" si="18"/>
        <v>3929.8268991999976</v>
      </c>
      <c r="BC77" s="124">
        <f t="shared" si="19"/>
        <v>1</v>
      </c>
      <c r="BD77" s="124">
        <f>BD76+BE77-MIN(BD76,ROUND(BD76*Supuestos!$C$71*Supuestos!$F$13,0))</f>
        <v>536</v>
      </c>
      <c r="BE77" s="124">
        <f>MAX(0,MIN(ROUND(Supuestos!$F$12*(1+BD$53)*$N77,0),IF(Supuestos!$C$72&gt;0,Supuestos!$C$72-BD76+MIN(BD76,ROUND(BD76*Supuestos!$C$71*Supuestos!$F$13,0)),ROUND(Supuestos!$F$12*(1+BD$53)*$N77,0))))</f>
        <v>18</v>
      </c>
      <c r="BF77" s="124">
        <f t="shared" si="20"/>
        <v>4926.8551641599988</v>
      </c>
      <c r="BG77" s="124">
        <f t="shared" si="21"/>
        <v>1</v>
      </c>
      <c r="BH77" s="124">
        <f>BH76+BI77-MIN(BH76,ROUND(BH76*Supuestos!$C$71*Supuestos!$F$13,0))</f>
        <v>536</v>
      </c>
      <c r="BI77" s="124">
        <f>MAX(0,MIN(ROUND(Supuestos!$F$12*(1+BH$53)*$N77,0),IF(Supuestos!$C$72&gt;0,Supuestos!$C$72-BH76+MIN(BH76,ROUND(BH76*Supuestos!$C$71*Supuestos!$F$13,0)),ROUND(Supuestos!$F$12*(1+BH$53)*$N77,0))))</f>
        <v>18</v>
      </c>
      <c r="BJ77" s="124">
        <f t="shared" si="22"/>
        <v>5923.8834291199964</v>
      </c>
      <c r="BK77" s="124">
        <f t="shared" si="23"/>
        <v>1</v>
      </c>
      <c r="BL77" s="124">
        <f>BL76+BM77-MIN(BL76,ROUND(BL76*Supuestos!$C$71*Supuestos!$F$13,0))</f>
        <v>596</v>
      </c>
      <c r="BM77" s="124">
        <f>MAX(0,MIN(ROUND(Supuestos!$F$12*(1+BL$53)*$N77,0),IF(Supuestos!$C$72&gt;0,Supuestos!$C$72-BL76+MIN(BL76,ROUND(BL76*Supuestos!$C$71*Supuestos!$F$13,0)),ROUND(Supuestos!$F$12*(1+BL$53)*$N77,0))))</f>
        <v>20</v>
      </c>
      <c r="BN77" s="124">
        <f t="shared" si="24"/>
        <v>4150.2819180799997</v>
      </c>
      <c r="BO77" s="124">
        <f t="shared" si="25"/>
        <v>1</v>
      </c>
      <c r="BP77" s="124">
        <f>BP76+BQ77-MIN(BP76,ROUND(BP76*Supuestos!$C$71*Supuestos!$F$13,0))</f>
        <v>596</v>
      </c>
      <c r="BQ77" s="124">
        <f>MAX(0,MIN(ROUND(Supuestos!$F$12*(1+BP$53)*$N77,0),IF(Supuestos!$C$72&gt;0,Supuestos!$C$72-BP76+MIN(BP76,ROUND(BP76*Supuestos!$C$71*Supuestos!$F$13,0)),ROUND(Supuestos!$F$12*(1+BP$53)*$N77,0))))</f>
        <v>20</v>
      </c>
      <c r="BR77" s="124">
        <f t="shared" si="26"/>
        <v>5258.9178246400006</v>
      </c>
      <c r="BS77" s="124">
        <f t="shared" si="27"/>
        <v>1</v>
      </c>
      <c r="BT77" s="124">
        <f>BT76+BU77-MIN(BT76,ROUND(BT76*Supuestos!$C$71*Supuestos!$F$13,0))</f>
        <v>596</v>
      </c>
      <c r="BU77" s="124">
        <f>MAX(0,MIN(ROUND(Supuestos!$F$12*(1+BT$53)*$N77,0),IF(Supuestos!$C$72&gt;0,Supuestos!$C$72-BT76+MIN(BT76,ROUND(BT76*Supuestos!$C$71*Supuestos!$F$13,0)),ROUND(Supuestos!$F$12*(1+BT$53)*$N77,0))))</f>
        <v>20</v>
      </c>
      <c r="BV77" s="124">
        <f t="shared" si="28"/>
        <v>6367.5537311999979</v>
      </c>
      <c r="BW77" s="124">
        <f t="shared" si="29"/>
        <v>1</v>
      </c>
      <c r="BX77" s="124">
        <f>BX76+BY77-MIN(BX76,ROUND(BX76*Supuestos!$C$71*Supuestos!$F$13,0))</f>
        <v>596</v>
      </c>
      <c r="BY77" s="124">
        <f>MAX(0,MIN(ROUND(Supuestos!$F$12*(1+BX$53)*$N77,0),IF(Supuestos!$C$72&gt;0,Supuestos!$C$72-BX76+MIN(BX76,ROUND(BX76*Supuestos!$C$71*Supuestos!$F$13,0)),ROUND(Supuestos!$F$12*(1+BX$53)*$N77,0))))</f>
        <v>20</v>
      </c>
      <c r="BZ77" s="124">
        <f t="shared" si="30"/>
        <v>7476.1896377599987</v>
      </c>
      <c r="CA77" s="124">
        <f t="shared" si="31"/>
        <v>1</v>
      </c>
      <c r="CB77" s="124">
        <f>CB76+CC77-MIN(CB76,ROUND(CB76*Supuestos!$C$71*Supuestos!$F$13,0))</f>
        <v>596</v>
      </c>
      <c r="CC77" s="124">
        <f>MAX(0,MIN(ROUND(Supuestos!$F$12*(1+CB$53)*$N77,0),IF(Supuestos!$C$72&gt;0,Supuestos!$C$72-CB76+MIN(CB76,ROUND(CB76*Supuestos!$C$71*Supuestos!$F$13,0)),ROUND(Supuestos!$F$12*(1+CB$53)*$N77,0))))</f>
        <v>20</v>
      </c>
      <c r="CD77" s="124">
        <f t="shared" si="32"/>
        <v>8584.8255443199996</v>
      </c>
      <c r="CE77" s="124">
        <f t="shared" si="33"/>
        <v>1</v>
      </c>
      <c r="CF77" s="124">
        <f>CF76+CG77-MIN(CF76,ROUND(CF76*Supuestos!$C$71*Supuestos!$F$13,0))</f>
        <v>657</v>
      </c>
      <c r="CG77" s="124">
        <f>MAX(0,MIN(ROUND(Supuestos!$F$12*(1+CF$53)*$N77,0),IF(Supuestos!$C$72&gt;0,Supuestos!$C$72-CF76+MIN(CF76,ROUND(CF76*Supuestos!$C$71*Supuestos!$F$13,0)),ROUND(Supuestos!$F$12*(1+CF$53)*$N77,0))))</f>
        <v>22</v>
      </c>
      <c r="CH77" s="124">
        <f t="shared" si="34"/>
        <v>6401.0268593599976</v>
      </c>
      <c r="CI77" s="124">
        <f t="shared" si="35"/>
        <v>1</v>
      </c>
      <c r="CJ77" s="124">
        <f>CJ76+CK77-MIN(CJ76,ROUND(CJ76*Supuestos!$C$71*Supuestos!$F$13,0))</f>
        <v>657</v>
      </c>
      <c r="CK77" s="124">
        <f>MAX(0,MIN(ROUND(Supuestos!$F$12*(1+CJ$53)*$N77,0),IF(Supuestos!$C$72&gt;0,Supuestos!$C$72-CJ76+MIN(CJ76,ROUND(CJ76*Supuestos!$C$71*Supuestos!$F$13,0)),ROUND(Supuestos!$F$12*(1+CJ$53)*$N77,0))))</f>
        <v>22</v>
      </c>
      <c r="CL77" s="124">
        <f t="shared" si="36"/>
        <v>7623.1305348799979</v>
      </c>
      <c r="CM77" s="124">
        <f t="shared" si="37"/>
        <v>1</v>
      </c>
      <c r="CN77" s="124">
        <f>CN76+CO77-MIN(CN76,ROUND(CN76*Supuestos!$C$71*Supuestos!$F$13,0))</f>
        <v>657</v>
      </c>
      <c r="CO77" s="124">
        <f>MAX(0,MIN(ROUND(Supuestos!$F$12*(1+CN$53)*$N77,0),IF(Supuestos!$C$72&gt;0,Supuestos!$C$72-CN76+MIN(CN76,ROUND(CN76*Supuestos!$C$71*Supuestos!$F$13,0)),ROUND(Supuestos!$F$12*(1+CN$53)*$N77,0))))</f>
        <v>22</v>
      </c>
      <c r="CP77" s="124">
        <f t="shared" si="38"/>
        <v>8845.2342103999981</v>
      </c>
      <c r="CQ77" s="124">
        <f t="shared" si="39"/>
        <v>1</v>
      </c>
      <c r="CR77" s="124">
        <f>CR76+CS77-MIN(CR76,ROUND(CR76*Supuestos!$C$71*Supuestos!$F$13,0))</f>
        <v>657</v>
      </c>
      <c r="CS77" s="124">
        <f>MAX(0,MIN(ROUND(Supuestos!$F$12*(1+CR$53)*$N77,0),IF(Supuestos!$C$72&gt;0,Supuestos!$C$72-CR76+MIN(CR76,ROUND(CR76*Supuestos!$C$71*Supuestos!$F$13,0)),ROUND(Supuestos!$F$12*(1+CR$53)*$N77,0))))</f>
        <v>22</v>
      </c>
      <c r="CT77" s="124">
        <f t="shared" si="40"/>
        <v>10067.337885919998</v>
      </c>
      <c r="CU77" s="124">
        <f t="shared" si="41"/>
        <v>1</v>
      </c>
      <c r="CV77" s="124">
        <f>CV76+CW77-MIN(CV76,ROUND(CV76*Supuestos!$C$71*Supuestos!$F$13,0))</f>
        <v>657</v>
      </c>
      <c r="CW77" s="124">
        <f>MAX(0,MIN(ROUND(Supuestos!$F$12*(1+CV$53)*$N77,0),IF(Supuestos!$C$72&gt;0,Supuestos!$C$72-CV76+MIN(CV76,ROUND(CV76*Supuestos!$C$71*Supuestos!$F$13,0)),ROUND(Supuestos!$F$12*(1+CV$53)*$N77,0))))</f>
        <v>22</v>
      </c>
      <c r="CX77" s="124">
        <f t="shared" si="42"/>
        <v>11289.441561439999</v>
      </c>
      <c r="CY77" s="124">
        <f t="shared" si="43"/>
        <v>1</v>
      </c>
      <c r="CZ77" s="124">
        <f>CZ76+DA77-MIN(CZ76,ROUND(CZ76*Supuestos!$C$71*Supuestos!$F$13,0))</f>
        <v>714</v>
      </c>
      <c r="DA77" s="124">
        <f>MAX(0,MIN(ROUND(Supuestos!$F$12*(1+CZ$53)*$N77,0),IF(Supuestos!$C$72&gt;0,Supuestos!$C$72-CZ76+MIN(CZ76,ROUND(CZ76*Supuestos!$C$71*Supuestos!$F$13,0)),ROUND(Supuestos!$F$12*(1+CZ$53)*$N77,0))))</f>
        <v>25</v>
      </c>
      <c r="DB77" s="124">
        <f t="shared" si="44"/>
        <v>8527.092230719998</v>
      </c>
      <c r="DC77" s="124">
        <f t="shared" si="45"/>
        <v>1</v>
      </c>
      <c r="DD77" s="124">
        <f>DD76+DE77-MIN(DD76,ROUND(DD76*Supuestos!$C$71*Supuestos!$F$13,0))</f>
        <v>714</v>
      </c>
      <c r="DE77" s="124">
        <f>MAX(0,MIN(ROUND(Supuestos!$F$12*(1+DD$53)*$N77,0),IF(Supuestos!$C$72&gt;0,Supuestos!$C$72-DD76+MIN(DD76,ROUND(DD76*Supuestos!$C$71*Supuestos!$F$13,0)),ROUND(Supuestos!$F$12*(1+DD$53)*$N77,0))))</f>
        <v>25</v>
      </c>
      <c r="DF77" s="124">
        <f t="shared" si="46"/>
        <v>9855.223165759995</v>
      </c>
      <c r="DG77" s="124">
        <f t="shared" si="47"/>
        <v>1</v>
      </c>
      <c r="DH77" s="124">
        <f>DH76+DI77-MIN(DH76,ROUND(DH76*Supuestos!$C$71*Supuestos!$F$13,0))</f>
        <v>714</v>
      </c>
      <c r="DI77" s="124">
        <f>MAX(0,MIN(ROUND(Supuestos!$F$12*(1+DH$53)*$N77,0),IF(Supuestos!$C$72&gt;0,Supuestos!$C$72-DH76+MIN(DH76,ROUND(DH76*Supuestos!$C$71*Supuestos!$F$13,0)),ROUND(Supuestos!$F$12*(1+DH$53)*$N77,0))))</f>
        <v>25</v>
      </c>
      <c r="DJ77" s="124">
        <f t="shared" si="48"/>
        <v>11183.354100799996</v>
      </c>
      <c r="DK77" s="124">
        <f t="shared" si="49"/>
        <v>1</v>
      </c>
      <c r="DL77" s="124">
        <f>DL76+DM77-MIN(DL76,ROUND(DL76*Supuestos!$C$71*Supuestos!$F$13,0))</f>
        <v>714</v>
      </c>
      <c r="DM77" s="124">
        <f>MAX(0,MIN(ROUND(Supuestos!$F$12*(1+DL$53)*$N77,0),IF(Supuestos!$C$72&gt;0,Supuestos!$C$72-DL76+MIN(DL76,ROUND(DL76*Supuestos!$C$71*Supuestos!$F$13,0)),ROUND(Supuestos!$F$12*(1+DL$53)*$N77,0))))</f>
        <v>25</v>
      </c>
      <c r="DN77" s="124">
        <f t="shared" si="50"/>
        <v>12511.485035839996</v>
      </c>
      <c r="DO77" s="124">
        <f t="shared" si="51"/>
        <v>1</v>
      </c>
      <c r="DP77" s="124">
        <f>DP76+DQ77-MIN(DP76,ROUND(DP76*Supuestos!$C$71*Supuestos!$F$13,0))</f>
        <v>714</v>
      </c>
      <c r="DQ77" s="124">
        <f>MAX(0,MIN(ROUND(Supuestos!$F$12*(1+DP$53)*$N77,0),IF(Supuestos!$C$72&gt;0,Supuestos!$C$72-DP76+MIN(DP76,ROUND(DP76*Supuestos!$C$71*Supuestos!$F$13,0)),ROUND(Supuestos!$F$12*(1+DP$53)*$N77,0))))</f>
        <v>25</v>
      </c>
      <c r="DR77" s="124">
        <f t="shared" si="52"/>
        <v>13839.615970879997</v>
      </c>
      <c r="DS77" s="124">
        <f t="shared" si="53"/>
        <v>1</v>
      </c>
    </row>
    <row r="78" spans="2:123" ht="13.5" customHeight="1" x14ac:dyDescent="0.2">
      <c r="B78" s="7" t="str">
        <f>"Mes 23  ·  "&amp;CHOOSE(MONTH(DATE(YEAR(Supuestos!$C$8),MONTH(Supuestos!$C$8)+(23)-1,1)),"ene","feb","mar","abr","may","jun","jul","ago","sep","oct","nov","dic")&amp;" "&amp;YEAR(DATE(YEAR(Supuestos!$C$8),MONTH(Supuestos!$C$8)+(23)-1,1))</f>
        <v>Mes 23  ·  jul 2029</v>
      </c>
      <c r="C78" s="74">
        <f>'Previsión 36 meses'!$M$52</f>
        <v>586</v>
      </c>
      <c r="D78" s="72">
        <f t="shared" si="54"/>
        <v>447</v>
      </c>
      <c r="E78" s="59">
        <f>'Previsión 36 meses'!$M$57</f>
        <v>25656.053399999997</v>
      </c>
      <c r="F78" s="59">
        <f>'Previsión 36 meses'!$M$69+'Previsión 36 meses'!$M$73</f>
        <v>19809.5601408</v>
      </c>
      <c r="G78" s="59">
        <f>'Previsión 36 meses'!$M$74</f>
        <v>5846.4932591999959</v>
      </c>
      <c r="H78" s="59">
        <f>'Previsión 36 meses'!$M$80</f>
        <v>3519.3594850957656</v>
      </c>
      <c r="I78" s="76">
        <f>'Previsión 36 meses'!$M$81</f>
        <v>44273.735886628012</v>
      </c>
      <c r="J78" s="59">
        <f t="shared" si="3"/>
        <v>34535.010046399933</v>
      </c>
      <c r="M78" s="119">
        <v>23</v>
      </c>
      <c r="N78" s="123">
        <f>IF($M78&lt;=12,INDEX(Supuestos!$C$55:$C$66,$M78)+IF($M78=1,Supuestos!$C$52,0),IF($M78&lt;=24,Supuestos!$C$69,Supuestos!$C$70)*IFERROR(INDEX(Supuestos!$C$55:$C$66,MOD($M78-1,12)+1)/AVERAGE(Supuestos!$C$55:$C$66),1))</f>
        <v>13.940774487471526</v>
      </c>
      <c r="O78" s="123">
        <f>Supuestos!$C$45*Supuestos!$F$14*(1+Supuestos!$C$112)^INT(($M78-1)/12)*(1-Supuestos!$C$98)</f>
        <v>37.202547199999998</v>
      </c>
      <c r="P78" s="123">
        <f>(Supuestos!$C$48+Supuestos!$C$49)*(1+Supuestos!$C$112)^INT(($M78-1)/12)*(1-Supuestos!$C$98-Supuestos!$C$99)</f>
        <v>2.7510999999999997</v>
      </c>
      <c r="Q78" s="123">
        <f>Supuestos!$C$47*(1+Supuestos!$C$112)^INT(($M78-1)/12)*(1-Supuestos!$C$98)</f>
        <v>20.254000000000001</v>
      </c>
      <c r="R78" s="120">
        <f>'Previsión 36 meses'!$M$69</f>
        <v>17849.900000000001</v>
      </c>
      <c r="S78" s="120">
        <f t="shared" si="0"/>
        <v>44273.735886628012</v>
      </c>
      <c r="T78" s="120">
        <f t="shared" si="1"/>
        <v>0</v>
      </c>
      <c r="U78" s="22" t="str">
        <f>CHOOSE(MONTH(DATE(YEAR(Supuestos!$C$8),MONTH(Supuestos!$C$8)+(23)-1,1)),"ene","feb","mar","abr","may","jun","jul","ago","sep","oct","nov","dic")&amp;" "&amp;RIGHT(YEAR(DATE(YEAR(Supuestos!$C$8),MONTH(Supuestos!$C$8)+(23)-1,1)),2)</f>
        <v>jul 29</v>
      </c>
      <c r="V78" s="121">
        <f>IF(AND(Supuestos!$C$33&gt;0,J78&gt;=Supuestos!$C$33),1,0)</f>
        <v>0</v>
      </c>
      <c r="X78" s="124">
        <f>X77+Y78-MIN(X77,ROUND(X77*Supuestos!$C$71*Supuestos!$F$13,0))</f>
        <v>470</v>
      </c>
      <c r="Y78" s="124">
        <f>MAX(0,MIN(ROUND(Supuestos!$F$12*(1+X$53)*$N78,0),IF(Supuestos!$C$72&gt;0,Supuestos!$C$72-X77+MIN(X77,ROUND(X77*Supuestos!$C$71*Supuestos!$F$13,0)),ROUND(Supuestos!$F$12*(1+X$53)*$N78,0))))</f>
        <v>11</v>
      </c>
      <c r="Z78" s="124">
        <f t="shared" si="4"/>
        <v>-597.41153440000198</v>
      </c>
      <c r="AA78" s="124">
        <f t="shared" si="5"/>
        <v>0</v>
      </c>
      <c r="AB78" s="124">
        <f>AB77+AC78-MIN(AB77,ROUND(AB77*Supuestos!$C$71*Supuestos!$F$13,0))</f>
        <v>470</v>
      </c>
      <c r="AC78" s="124">
        <f>MAX(0,MIN(ROUND(Supuestos!$F$12*(1+AB$53)*$N78,0),IF(Supuestos!$C$72&gt;0,Supuestos!$C$72-AB77+MIN(AB77,ROUND(AB77*Supuestos!$C$71*Supuestos!$F$13,0)),ROUND(Supuestos!$F$12*(1+AB$53)*$N78,0))))</f>
        <v>11</v>
      </c>
      <c r="AD78" s="124">
        <f t="shared" si="6"/>
        <v>276.84832480000114</v>
      </c>
      <c r="AE78" s="124">
        <f t="shared" si="7"/>
        <v>1</v>
      </c>
      <c r="AF78" s="124">
        <f>AF77+AG78-MIN(AF77,ROUND(AF77*Supuestos!$C$71*Supuestos!$F$13,0))</f>
        <v>470</v>
      </c>
      <c r="AG78" s="124">
        <f>MAX(0,MIN(ROUND(Supuestos!$F$12*(1+AF$53)*$N78,0),IF(Supuestos!$C$72&gt;0,Supuestos!$C$72-AF77+MIN(AF77,ROUND(AF77*Supuestos!$C$71*Supuestos!$F$13,0)),ROUND(Supuestos!$F$12*(1+AF$53)*$N78,0))))</f>
        <v>11</v>
      </c>
      <c r="AH78" s="124">
        <f t="shared" si="8"/>
        <v>1151.1081840000006</v>
      </c>
      <c r="AI78" s="124">
        <f t="shared" si="9"/>
        <v>1</v>
      </c>
      <c r="AJ78" s="124">
        <f>AJ77+AK78-MIN(AJ77,ROUND(AJ77*Supuestos!$C$71*Supuestos!$F$13,0))</f>
        <v>470</v>
      </c>
      <c r="AK78" s="124">
        <f>MAX(0,MIN(ROUND(Supuestos!$F$12*(1+AJ$53)*$N78,0),IF(Supuestos!$C$72&gt;0,Supuestos!$C$72-AJ77+MIN(AJ77,ROUND(AJ77*Supuestos!$C$71*Supuestos!$F$13,0)),ROUND(Supuestos!$F$12*(1+AJ$53)*$N78,0))))</f>
        <v>11</v>
      </c>
      <c r="AL78" s="124">
        <f t="shared" si="10"/>
        <v>2025.3680432000001</v>
      </c>
      <c r="AM78" s="124">
        <f t="shared" si="11"/>
        <v>1</v>
      </c>
      <c r="AN78" s="124">
        <f>AN77+AO78-MIN(AN77,ROUND(AN77*Supuestos!$C$71*Supuestos!$F$13,0))</f>
        <v>470</v>
      </c>
      <c r="AO78" s="124">
        <f>MAX(0,MIN(ROUND(Supuestos!$F$12*(1+AN$53)*$N78,0),IF(Supuestos!$C$72&gt;0,Supuestos!$C$72-AN77+MIN(AN77,ROUND(AN77*Supuestos!$C$71*Supuestos!$F$13,0)),ROUND(Supuestos!$F$12*(1+AN$53)*$N78,0))))</f>
        <v>11</v>
      </c>
      <c r="AP78" s="124">
        <f t="shared" si="12"/>
        <v>2899.6279023999996</v>
      </c>
      <c r="AQ78" s="124">
        <f t="shared" si="13"/>
        <v>1</v>
      </c>
      <c r="AR78" s="124">
        <f>AR77+AS78-MIN(AR77,ROUND(AR77*Supuestos!$C$71*Supuestos!$F$13,0))</f>
        <v>528</v>
      </c>
      <c r="AS78" s="124">
        <f>MAX(0,MIN(ROUND(Supuestos!$F$12*(1+AR$53)*$N78,0),IF(Supuestos!$C$72&gt;0,Supuestos!$C$72-AR77+MIN(AR77,ROUND(AR77*Supuestos!$C$71*Supuestos!$F$13,0)),ROUND(Supuestos!$F$12*(1+AR$53)*$N78,0))))</f>
        <v>13</v>
      </c>
      <c r="AT78" s="124">
        <f t="shared" si="14"/>
        <v>1544.6332294399981</v>
      </c>
      <c r="AU78" s="124">
        <f t="shared" si="15"/>
        <v>1</v>
      </c>
      <c r="AV78" s="124">
        <f>AV77+AW78-MIN(AV77,ROUND(AV77*Supuestos!$C$71*Supuestos!$F$13,0))</f>
        <v>528</v>
      </c>
      <c r="AW78" s="124">
        <f>MAX(0,MIN(ROUND(Supuestos!$F$12*(1+AV$53)*$N78,0),IF(Supuestos!$C$72&gt;0,Supuestos!$C$72-AV77+MIN(AV77,ROUND(AV77*Supuestos!$C$71*Supuestos!$F$13,0)),ROUND(Supuestos!$F$12*(1+AV$53)*$N78,0))))</f>
        <v>13</v>
      </c>
      <c r="AX78" s="124">
        <f t="shared" si="16"/>
        <v>2526.7804755199977</v>
      </c>
      <c r="AY78" s="124">
        <f t="shared" si="17"/>
        <v>1</v>
      </c>
      <c r="AZ78" s="124">
        <f>AZ77+BA78-MIN(AZ77,ROUND(AZ77*Supuestos!$C$71*Supuestos!$F$13,0))</f>
        <v>528</v>
      </c>
      <c r="BA78" s="124">
        <f>MAX(0,MIN(ROUND(Supuestos!$F$12*(1+AZ$53)*$N78,0),IF(Supuestos!$C$72&gt;0,Supuestos!$C$72-AZ77+MIN(AZ77,ROUND(AZ77*Supuestos!$C$71*Supuestos!$F$13,0)),ROUND(Supuestos!$F$12*(1+AZ$53)*$N78,0))))</f>
        <v>13</v>
      </c>
      <c r="BB78" s="124">
        <f t="shared" si="18"/>
        <v>3508.9277215999973</v>
      </c>
      <c r="BC78" s="124">
        <f t="shared" si="19"/>
        <v>1</v>
      </c>
      <c r="BD78" s="124">
        <f>BD77+BE78-MIN(BD77,ROUND(BD77*Supuestos!$C$71*Supuestos!$F$13,0))</f>
        <v>528</v>
      </c>
      <c r="BE78" s="124">
        <f>MAX(0,MIN(ROUND(Supuestos!$F$12*(1+BD$53)*$N78,0),IF(Supuestos!$C$72&gt;0,Supuestos!$C$72-BD77+MIN(BD77,ROUND(BD77*Supuestos!$C$71*Supuestos!$F$13,0)),ROUND(Supuestos!$F$12*(1+BD$53)*$N78,0))))</f>
        <v>13</v>
      </c>
      <c r="BF78" s="124">
        <f t="shared" si="20"/>
        <v>4491.0749676799969</v>
      </c>
      <c r="BG78" s="124">
        <f t="shared" si="21"/>
        <v>1</v>
      </c>
      <c r="BH78" s="124">
        <f>BH77+BI78-MIN(BH77,ROUND(BH77*Supuestos!$C$71*Supuestos!$F$13,0))</f>
        <v>528</v>
      </c>
      <c r="BI78" s="124">
        <f>MAX(0,MIN(ROUND(Supuestos!$F$12*(1+BH$53)*$N78,0),IF(Supuestos!$C$72&gt;0,Supuestos!$C$72-BH77+MIN(BH77,ROUND(BH77*Supuestos!$C$71*Supuestos!$F$13,0)),ROUND(Supuestos!$F$12*(1+BH$53)*$N78,0))))</f>
        <v>13</v>
      </c>
      <c r="BJ78" s="124">
        <f t="shared" si="22"/>
        <v>5473.2222137599965</v>
      </c>
      <c r="BK78" s="124">
        <f t="shared" si="23"/>
        <v>1</v>
      </c>
      <c r="BL78" s="124">
        <f>BL77+BM78-MIN(BL77,ROUND(BL77*Supuestos!$C$71*Supuestos!$F$13,0))</f>
        <v>586</v>
      </c>
      <c r="BM78" s="124">
        <f>MAX(0,MIN(ROUND(Supuestos!$F$12*(1+BL$53)*$N78,0),IF(Supuestos!$C$72&gt;0,Supuestos!$C$72-BL77+MIN(BL77,ROUND(BL77*Supuestos!$C$71*Supuestos!$F$13,0)),ROUND(Supuestos!$F$12*(1+BL$53)*$N78,0))))</f>
        <v>14</v>
      </c>
      <c r="BN78" s="124">
        <f t="shared" si="24"/>
        <v>3666.4239932799974</v>
      </c>
      <c r="BO78" s="124">
        <f t="shared" si="25"/>
        <v>1</v>
      </c>
      <c r="BP78" s="124">
        <f>BP77+BQ78-MIN(BP77,ROUND(BP77*Supuestos!$C$71*Supuestos!$F$13,0))</f>
        <v>586</v>
      </c>
      <c r="BQ78" s="124">
        <f>MAX(0,MIN(ROUND(Supuestos!$F$12*(1+BP$53)*$N78,0),IF(Supuestos!$C$72&gt;0,Supuestos!$C$72-BP77+MIN(BP77,ROUND(BP77*Supuestos!$C$71*Supuestos!$F$13,0)),ROUND(Supuestos!$F$12*(1+BP$53)*$N78,0))))</f>
        <v>14</v>
      </c>
      <c r="BR78" s="124">
        <f t="shared" si="26"/>
        <v>4756.4586262399971</v>
      </c>
      <c r="BS78" s="124">
        <f t="shared" si="27"/>
        <v>1</v>
      </c>
      <c r="BT78" s="124">
        <f>BT77+BU78-MIN(BT77,ROUND(BT77*Supuestos!$C$71*Supuestos!$F$13,0))</f>
        <v>586</v>
      </c>
      <c r="BU78" s="124">
        <f>MAX(0,MIN(ROUND(Supuestos!$F$12*(1+BT$53)*$N78,0),IF(Supuestos!$C$72&gt;0,Supuestos!$C$72-BT77+MIN(BT77,ROUND(BT77*Supuestos!$C$71*Supuestos!$F$13,0)),ROUND(Supuestos!$F$12*(1+BT$53)*$N78,0))))</f>
        <v>14</v>
      </c>
      <c r="BV78" s="124">
        <f t="shared" si="28"/>
        <v>5846.4932591999968</v>
      </c>
      <c r="BW78" s="124">
        <f t="shared" si="29"/>
        <v>1</v>
      </c>
      <c r="BX78" s="124">
        <f>BX77+BY78-MIN(BX77,ROUND(BX77*Supuestos!$C$71*Supuestos!$F$13,0))</f>
        <v>586</v>
      </c>
      <c r="BY78" s="124">
        <f>MAX(0,MIN(ROUND(Supuestos!$F$12*(1+BX$53)*$N78,0),IF(Supuestos!$C$72&gt;0,Supuestos!$C$72-BX77+MIN(BX77,ROUND(BX77*Supuestos!$C$71*Supuestos!$F$13,0)),ROUND(Supuestos!$F$12*(1+BX$53)*$N78,0))))</f>
        <v>14</v>
      </c>
      <c r="BZ78" s="124">
        <f t="shared" si="30"/>
        <v>6936.5278921599966</v>
      </c>
      <c r="CA78" s="124">
        <f t="shared" si="31"/>
        <v>1</v>
      </c>
      <c r="CB78" s="124">
        <f>CB77+CC78-MIN(CB77,ROUND(CB77*Supuestos!$C$71*Supuestos!$F$13,0))</f>
        <v>586</v>
      </c>
      <c r="CC78" s="124">
        <f>MAX(0,MIN(ROUND(Supuestos!$F$12*(1+CB$53)*$N78,0),IF(Supuestos!$C$72&gt;0,Supuestos!$C$72-CB77+MIN(CB77,ROUND(CB77*Supuestos!$C$71*Supuestos!$F$13,0)),ROUND(Supuestos!$F$12*(1+CB$53)*$N78,0))))</f>
        <v>14</v>
      </c>
      <c r="CD78" s="124">
        <f t="shared" si="32"/>
        <v>8026.5625251199999</v>
      </c>
      <c r="CE78" s="124">
        <f t="shared" si="33"/>
        <v>1</v>
      </c>
      <c r="CF78" s="124">
        <f>CF77+CG78-MIN(CF77,ROUND(CF77*Supuestos!$C$71*Supuestos!$F$13,0))</f>
        <v>646</v>
      </c>
      <c r="CG78" s="124">
        <f>MAX(0,MIN(ROUND(Supuestos!$F$12*(1+CF$53)*$N78,0),IF(Supuestos!$C$72&gt;0,Supuestos!$C$72-CF77+MIN(CF77,ROUND(CF77*Supuestos!$C$71*Supuestos!$F$13,0)),ROUND(Supuestos!$F$12*(1+CF$53)*$N78,0))))</f>
        <v>15</v>
      </c>
      <c r="CH78" s="124">
        <f t="shared" si="34"/>
        <v>5860.6815420799976</v>
      </c>
      <c r="CI78" s="124">
        <f t="shared" si="35"/>
        <v>1</v>
      </c>
      <c r="CJ78" s="124">
        <f>CJ77+CK78-MIN(CJ77,ROUND(CJ77*Supuestos!$C$71*Supuestos!$F$13,0))</f>
        <v>646</v>
      </c>
      <c r="CK78" s="124">
        <f>MAX(0,MIN(ROUND(Supuestos!$F$12*(1+CJ$53)*$N78,0),IF(Supuestos!$C$72&gt;0,Supuestos!$C$72-CJ77+MIN(CJ77,ROUND(CJ77*Supuestos!$C$71*Supuestos!$F$13,0)),ROUND(Supuestos!$F$12*(1+CJ$53)*$N78,0))))</f>
        <v>15</v>
      </c>
      <c r="CL78" s="124">
        <f t="shared" si="36"/>
        <v>7062.3238166400006</v>
      </c>
      <c r="CM78" s="124">
        <f t="shared" si="37"/>
        <v>1</v>
      </c>
      <c r="CN78" s="124">
        <f>CN77+CO78-MIN(CN77,ROUND(CN77*Supuestos!$C$71*Supuestos!$F$13,0))</f>
        <v>646</v>
      </c>
      <c r="CO78" s="124">
        <f>MAX(0,MIN(ROUND(Supuestos!$F$12*(1+CN$53)*$N78,0),IF(Supuestos!$C$72&gt;0,Supuestos!$C$72-CN77+MIN(CN77,ROUND(CN77*Supuestos!$C$71*Supuestos!$F$13,0)),ROUND(Supuestos!$F$12*(1+CN$53)*$N78,0))))</f>
        <v>15</v>
      </c>
      <c r="CP78" s="124">
        <f t="shared" si="38"/>
        <v>8263.9660911999999</v>
      </c>
      <c r="CQ78" s="124">
        <f t="shared" si="39"/>
        <v>1</v>
      </c>
      <c r="CR78" s="124">
        <f>CR77+CS78-MIN(CR77,ROUND(CR77*Supuestos!$C$71*Supuestos!$F$13,0))</f>
        <v>646</v>
      </c>
      <c r="CS78" s="124">
        <f>MAX(0,MIN(ROUND(Supuestos!$F$12*(1+CR$53)*$N78,0),IF(Supuestos!$C$72&gt;0,Supuestos!$C$72-CR77+MIN(CR77,ROUND(CR77*Supuestos!$C$71*Supuestos!$F$13,0)),ROUND(Supuestos!$F$12*(1+CR$53)*$N78,0))))</f>
        <v>15</v>
      </c>
      <c r="CT78" s="124">
        <f t="shared" si="40"/>
        <v>9465.6083657599993</v>
      </c>
      <c r="CU78" s="124">
        <f t="shared" si="41"/>
        <v>1</v>
      </c>
      <c r="CV78" s="124">
        <f>CV77+CW78-MIN(CV77,ROUND(CV77*Supuestos!$C$71*Supuestos!$F$13,0))</f>
        <v>646</v>
      </c>
      <c r="CW78" s="124">
        <f>MAX(0,MIN(ROUND(Supuestos!$F$12*(1+CV$53)*$N78,0),IF(Supuestos!$C$72&gt;0,Supuestos!$C$72-CV77+MIN(CV77,ROUND(CV77*Supuestos!$C$71*Supuestos!$F$13,0)),ROUND(Supuestos!$F$12*(1+CV$53)*$N78,0))))</f>
        <v>15</v>
      </c>
      <c r="CX78" s="124">
        <f t="shared" si="42"/>
        <v>10667.250640319999</v>
      </c>
      <c r="CY78" s="124">
        <f t="shared" si="43"/>
        <v>1</v>
      </c>
      <c r="CZ78" s="124">
        <f>CZ77+DA78-MIN(CZ77,ROUND(CZ77*Supuestos!$C$71*Supuestos!$F$13,0))</f>
        <v>702</v>
      </c>
      <c r="DA78" s="124">
        <f>MAX(0,MIN(ROUND(Supuestos!$F$12*(1+CZ$53)*$N78,0),IF(Supuestos!$C$72&gt;0,Supuestos!$C$72-CZ77+MIN(CZ77,ROUND(CZ77*Supuestos!$C$71*Supuestos!$F$13,0)),ROUND(Supuestos!$F$12*(1+CZ$53)*$N78,0))))</f>
        <v>17</v>
      </c>
      <c r="DB78" s="124">
        <f t="shared" si="44"/>
        <v>7930.2595209599967</v>
      </c>
      <c r="DC78" s="124">
        <f t="shared" si="45"/>
        <v>1</v>
      </c>
      <c r="DD78" s="124">
        <f>DD77+DE78-MIN(DD77,ROUND(DD77*Supuestos!$C$71*Supuestos!$F$13,0))</f>
        <v>702</v>
      </c>
      <c r="DE78" s="124">
        <f>MAX(0,MIN(ROUND(Supuestos!$F$12*(1+DD$53)*$N78,0),IF(Supuestos!$C$72&gt;0,Supuestos!$C$72-DD77+MIN(DD77,ROUND(DD77*Supuestos!$C$71*Supuestos!$F$13,0)),ROUND(Supuestos!$F$12*(1+DD$53)*$N78,0))))</f>
        <v>17</v>
      </c>
      <c r="DF78" s="124">
        <f t="shared" si="46"/>
        <v>9236.0689276799967</v>
      </c>
      <c r="DG78" s="124">
        <f t="shared" si="47"/>
        <v>1</v>
      </c>
      <c r="DH78" s="124">
        <f>DH77+DI78-MIN(DH77,ROUND(DH77*Supuestos!$C$71*Supuestos!$F$13,0))</f>
        <v>702</v>
      </c>
      <c r="DI78" s="124">
        <f>MAX(0,MIN(ROUND(Supuestos!$F$12*(1+DH$53)*$N78,0),IF(Supuestos!$C$72&gt;0,Supuestos!$C$72-DH77+MIN(DH77,ROUND(DH77*Supuestos!$C$71*Supuestos!$F$13,0)),ROUND(Supuestos!$F$12*(1+DH$53)*$N78,0))))</f>
        <v>17</v>
      </c>
      <c r="DJ78" s="124">
        <f t="shared" si="48"/>
        <v>10541.878334399997</v>
      </c>
      <c r="DK78" s="124">
        <f t="shared" si="49"/>
        <v>1</v>
      </c>
      <c r="DL78" s="124">
        <f>DL77+DM78-MIN(DL77,ROUND(DL77*Supuestos!$C$71*Supuestos!$F$13,0))</f>
        <v>702</v>
      </c>
      <c r="DM78" s="124">
        <f>MAX(0,MIN(ROUND(Supuestos!$F$12*(1+DL$53)*$N78,0),IF(Supuestos!$C$72&gt;0,Supuestos!$C$72-DL77+MIN(DL77,ROUND(DL77*Supuestos!$C$71*Supuestos!$F$13,0)),ROUND(Supuestos!$F$12*(1+DL$53)*$N78,0))))</f>
        <v>17</v>
      </c>
      <c r="DN78" s="124">
        <f t="shared" si="50"/>
        <v>11847.687741119997</v>
      </c>
      <c r="DO78" s="124">
        <f t="shared" si="51"/>
        <v>1</v>
      </c>
      <c r="DP78" s="124">
        <f>DP77+DQ78-MIN(DP77,ROUND(DP77*Supuestos!$C$71*Supuestos!$F$13,0))</f>
        <v>702</v>
      </c>
      <c r="DQ78" s="124">
        <f>MAX(0,MIN(ROUND(Supuestos!$F$12*(1+DP$53)*$N78,0),IF(Supuestos!$C$72&gt;0,Supuestos!$C$72-DP77+MIN(DP77,ROUND(DP77*Supuestos!$C$71*Supuestos!$F$13,0)),ROUND(Supuestos!$F$12*(1+DP$53)*$N78,0))))</f>
        <v>17</v>
      </c>
      <c r="DR78" s="124">
        <f t="shared" si="52"/>
        <v>13153.497147839997</v>
      </c>
      <c r="DS78" s="124">
        <f t="shared" si="53"/>
        <v>1</v>
      </c>
    </row>
    <row r="79" spans="2:123" ht="13.5" customHeight="1" x14ac:dyDescent="0.2">
      <c r="B79" s="7" t="str">
        <f>"Mes 24  ·  "&amp;CHOOSE(MONTH(DATE(YEAR(Supuestos!$C$8),MONTH(Supuestos!$C$8)+(24)-1,1)),"ene","feb","mar","abr","may","jun","jul","ago","sep","oct","nov","dic")&amp;" "&amp;YEAR(DATE(YEAR(Supuestos!$C$8),MONTH(Supuestos!$C$8)+(24)-1,1))</f>
        <v>Mes 24  ·  ago 2029</v>
      </c>
      <c r="C79" s="74">
        <f>'Previsión 36 meses'!$N$52</f>
        <v>574</v>
      </c>
      <c r="D79" s="72">
        <f t="shared" si="54"/>
        <v>447</v>
      </c>
      <c r="E79" s="59">
        <f>'Previsión 36 meses'!$N$57</f>
        <v>25075.050599999999</v>
      </c>
      <c r="F79" s="59">
        <f>'Previsión 36 meses'!$N$69+'Previsión 36 meses'!$N$73</f>
        <v>19768.7631072</v>
      </c>
      <c r="G79" s="59">
        <f>'Previsión 36 meses'!$N$74</f>
        <v>5306.2874927999974</v>
      </c>
      <c r="H79" s="59">
        <f>'Previsión 36 meses'!$N$80</f>
        <v>2979.1537186957671</v>
      </c>
      <c r="I79" s="76">
        <f>'Previsión 36 meses'!$N$81</f>
        <v>47252.889605323777</v>
      </c>
      <c r="J79" s="59">
        <f t="shared" si="3"/>
        <v>39841.297539199928</v>
      </c>
      <c r="M79" s="119">
        <v>24</v>
      </c>
      <c r="N79" s="123">
        <f>IF($M79&lt;=12,INDEX(Supuestos!$C$55:$C$66,$M79)+IF($M79=1,Supuestos!$C$52,0),IF($M79&lt;=24,Supuestos!$C$69,Supuestos!$C$70)*IFERROR(INDEX(Supuestos!$C$55:$C$66,MOD($M79-1,12)+1)/AVERAGE(Supuestos!$C$55:$C$66),1))</f>
        <v>11.15261958997722</v>
      </c>
      <c r="O79" s="123">
        <f>Supuestos!$C$45*Supuestos!$F$14*(1+Supuestos!$C$112)^INT(($M79-1)/12)*(1-Supuestos!$C$98)</f>
        <v>37.202547199999998</v>
      </c>
      <c r="P79" s="123">
        <f>(Supuestos!$C$48+Supuestos!$C$49)*(1+Supuestos!$C$112)^INT(($M79-1)/12)*(1-Supuestos!$C$98-Supuestos!$C$99)</f>
        <v>2.7510999999999997</v>
      </c>
      <c r="Q79" s="123">
        <f>Supuestos!$C$47*(1+Supuestos!$C$112)^INT(($M79-1)/12)*(1-Supuestos!$C$98)</f>
        <v>20.254000000000001</v>
      </c>
      <c r="R79" s="120">
        <f>'Previsión 36 meses'!$N$69</f>
        <v>17849.900000000001</v>
      </c>
      <c r="S79" s="120">
        <f t="shared" si="0"/>
        <v>47252.889605323777</v>
      </c>
      <c r="T79" s="120">
        <f t="shared" si="1"/>
        <v>0</v>
      </c>
      <c r="U79" s="22" t="str">
        <f>CHOOSE(MONTH(DATE(YEAR(Supuestos!$C$8),MONTH(Supuestos!$C$8)+(24)-1,1)),"ene","feb","mar","abr","may","jun","jul","ago","sep","oct","nov","dic")&amp;" "&amp;RIGHT(YEAR(DATE(YEAR(Supuestos!$C$8),MONTH(Supuestos!$C$8)+(24)-1,1)),2)</f>
        <v>ago 29</v>
      </c>
      <c r="V79" s="121">
        <f>IF(AND(Supuestos!$C$33&gt;0,J79&gt;=Supuestos!$C$33),1,0)</f>
        <v>0</v>
      </c>
      <c r="X79" s="124">
        <f>X78+Y79-MIN(X78,ROUND(X78*Supuestos!$C$71*Supuestos!$F$13,0))</f>
        <v>460</v>
      </c>
      <c r="Y79" s="124">
        <f>MAX(0,MIN(ROUND(Supuestos!$F$12*(1+X$53)*$N79,0),IF(Supuestos!$C$72&gt;0,Supuestos!$C$72-X78+MIN(X78,ROUND(X78*Supuestos!$C$71*Supuestos!$F$13,0)),ROUND(Supuestos!$F$12*(1+X$53)*$N79,0))))</f>
        <v>9</v>
      </c>
      <c r="Z79" s="124">
        <f t="shared" si="4"/>
        <v>-1000.2534592000011</v>
      </c>
      <c r="AA79" s="124">
        <f t="shared" si="5"/>
        <v>0</v>
      </c>
      <c r="AB79" s="124">
        <f>AB78+AC79-MIN(AB78,ROUND(AB78*Supuestos!$C$71*Supuestos!$F$13,0))</f>
        <v>460</v>
      </c>
      <c r="AC79" s="124">
        <f>MAX(0,MIN(ROUND(Supuestos!$F$12*(1+AB$53)*$N79,0),IF(Supuestos!$C$72&gt;0,Supuestos!$C$72-AB78+MIN(AB78,ROUND(AB78*Supuestos!$C$71*Supuestos!$F$13,0)),ROUND(Supuestos!$F$12*(1+AB$53)*$N79,0))))</f>
        <v>9</v>
      </c>
      <c r="AD79" s="124">
        <f t="shared" si="6"/>
        <v>-144.59487360000276</v>
      </c>
      <c r="AE79" s="124">
        <f t="shared" si="7"/>
        <v>0</v>
      </c>
      <c r="AF79" s="124">
        <f>AF78+AG79-MIN(AF78,ROUND(AF78*Supuestos!$C$71*Supuestos!$F$13,0))</f>
        <v>460</v>
      </c>
      <c r="AG79" s="124">
        <f>MAX(0,MIN(ROUND(Supuestos!$F$12*(1+AF$53)*$N79,0),IF(Supuestos!$C$72&gt;0,Supuestos!$C$72-AF78+MIN(AF78,ROUND(AF78*Supuestos!$C$71*Supuestos!$F$13,0)),ROUND(Supuestos!$F$12*(1+AF$53)*$N79,0))))</f>
        <v>9</v>
      </c>
      <c r="AH79" s="124">
        <f t="shared" si="8"/>
        <v>711.06371199999921</v>
      </c>
      <c r="AI79" s="124">
        <f t="shared" si="9"/>
        <v>1</v>
      </c>
      <c r="AJ79" s="124">
        <f>AJ78+AK79-MIN(AJ78,ROUND(AJ78*Supuestos!$C$71*Supuestos!$F$13,0))</f>
        <v>460</v>
      </c>
      <c r="AK79" s="124">
        <f>MAX(0,MIN(ROUND(Supuestos!$F$12*(1+AJ$53)*$N79,0),IF(Supuestos!$C$72&gt;0,Supuestos!$C$72-AJ78+MIN(AJ78,ROUND(AJ78*Supuestos!$C$71*Supuestos!$F$13,0)),ROUND(Supuestos!$F$12*(1+AJ$53)*$N79,0))))</f>
        <v>9</v>
      </c>
      <c r="AL79" s="124">
        <f t="shared" si="10"/>
        <v>1566.7222975999975</v>
      </c>
      <c r="AM79" s="124">
        <f t="shared" si="11"/>
        <v>1</v>
      </c>
      <c r="AN79" s="124">
        <f>AN78+AO79-MIN(AN78,ROUND(AN78*Supuestos!$C$71*Supuestos!$F$13,0))</f>
        <v>460</v>
      </c>
      <c r="AO79" s="124">
        <f>MAX(0,MIN(ROUND(Supuestos!$F$12*(1+AN$53)*$N79,0),IF(Supuestos!$C$72&gt;0,Supuestos!$C$72-AN78+MIN(AN78,ROUND(AN78*Supuestos!$C$71*Supuestos!$F$13,0)),ROUND(Supuestos!$F$12*(1+AN$53)*$N79,0))))</f>
        <v>9</v>
      </c>
      <c r="AP79" s="124">
        <f t="shared" si="12"/>
        <v>2422.3808831999995</v>
      </c>
      <c r="AQ79" s="124">
        <f t="shared" si="13"/>
        <v>1</v>
      </c>
      <c r="AR79" s="124">
        <f>AR78+AS79-MIN(AR78,ROUND(AR78*Supuestos!$C$71*Supuestos!$F$13,0))</f>
        <v>517</v>
      </c>
      <c r="AS79" s="124">
        <f>MAX(0,MIN(ROUND(Supuestos!$F$12*(1+AR$53)*$N79,0),IF(Supuestos!$C$72&gt;0,Supuestos!$C$72-AR78+MIN(AR78,ROUND(AR78*Supuestos!$C$71*Supuestos!$F$13,0)),ROUND(Supuestos!$F$12*(1+AR$53)*$N79,0))))</f>
        <v>10</v>
      </c>
      <c r="AT79" s="124">
        <f t="shared" si="14"/>
        <v>1085.3039121599977</v>
      </c>
      <c r="AU79" s="124">
        <f t="shared" si="15"/>
        <v>1</v>
      </c>
      <c r="AV79" s="124">
        <f>AV78+AW79-MIN(AV78,ROUND(AV78*Supuestos!$C$71*Supuestos!$F$13,0))</f>
        <v>517</v>
      </c>
      <c r="AW79" s="124">
        <f>MAX(0,MIN(ROUND(Supuestos!$F$12*(1+AV$53)*$N79,0),IF(Supuestos!$C$72&gt;0,Supuestos!$C$72-AV78+MIN(AV78,ROUND(AV78*Supuestos!$C$71*Supuestos!$F$13,0)),ROUND(Supuestos!$F$12*(1+AV$53)*$N79,0))))</f>
        <v>10</v>
      </c>
      <c r="AX79" s="124">
        <f t="shared" si="16"/>
        <v>2046.98975728</v>
      </c>
      <c r="AY79" s="124">
        <f t="shared" si="17"/>
        <v>1</v>
      </c>
      <c r="AZ79" s="124">
        <f>AZ78+BA79-MIN(AZ78,ROUND(AZ78*Supuestos!$C$71*Supuestos!$F$13,0))</f>
        <v>517</v>
      </c>
      <c r="BA79" s="124">
        <f>MAX(0,MIN(ROUND(Supuestos!$F$12*(1+AZ$53)*$N79,0),IF(Supuestos!$C$72&gt;0,Supuestos!$C$72-AZ78+MIN(AZ78,ROUND(AZ78*Supuestos!$C$71*Supuestos!$F$13,0)),ROUND(Supuestos!$F$12*(1+AZ$53)*$N79,0))))</f>
        <v>10</v>
      </c>
      <c r="BB79" s="124">
        <f t="shared" si="18"/>
        <v>3008.6756023999988</v>
      </c>
      <c r="BC79" s="124">
        <f t="shared" si="19"/>
        <v>1</v>
      </c>
      <c r="BD79" s="124">
        <f>BD78+BE79-MIN(BD78,ROUND(BD78*Supuestos!$C$71*Supuestos!$F$13,0))</f>
        <v>517</v>
      </c>
      <c r="BE79" s="124">
        <f>MAX(0,MIN(ROUND(Supuestos!$F$12*(1+BD$53)*$N79,0),IF(Supuestos!$C$72&gt;0,Supuestos!$C$72-BD78+MIN(BD78,ROUND(BD78*Supuestos!$C$71*Supuestos!$F$13,0)),ROUND(Supuestos!$F$12*(1+BD$53)*$N79,0))))</f>
        <v>10</v>
      </c>
      <c r="BF79" s="124">
        <f t="shared" si="20"/>
        <v>3970.3614475199975</v>
      </c>
      <c r="BG79" s="124">
        <f t="shared" si="21"/>
        <v>1</v>
      </c>
      <c r="BH79" s="124">
        <f>BH78+BI79-MIN(BH78,ROUND(BH78*Supuestos!$C$71*Supuestos!$F$13,0))</f>
        <v>517</v>
      </c>
      <c r="BI79" s="124">
        <f>MAX(0,MIN(ROUND(Supuestos!$F$12*(1+BH$53)*$N79,0),IF(Supuestos!$C$72&gt;0,Supuestos!$C$72-BH78+MIN(BH78,ROUND(BH78*Supuestos!$C$71*Supuestos!$F$13,0)),ROUND(Supuestos!$F$12*(1+BH$53)*$N79,0))))</f>
        <v>10</v>
      </c>
      <c r="BJ79" s="124">
        <f t="shared" si="22"/>
        <v>4932.0472926399998</v>
      </c>
      <c r="BK79" s="124">
        <f t="shared" si="23"/>
        <v>1</v>
      </c>
      <c r="BL79" s="124">
        <f>BL78+BM79-MIN(BL78,ROUND(BL78*Supuestos!$C$71*Supuestos!$F$13,0))</f>
        <v>574</v>
      </c>
      <c r="BM79" s="124">
        <f>MAX(0,MIN(ROUND(Supuestos!$F$12*(1+BL$53)*$N79,0),IF(Supuestos!$C$72&gt;0,Supuestos!$C$72-BL78+MIN(BL78,ROUND(BL78*Supuestos!$C$71*Supuestos!$F$13,0)),ROUND(Supuestos!$F$12*(1+BL$53)*$N79,0))))</f>
        <v>11</v>
      </c>
      <c r="BN79" s="124">
        <f t="shared" si="24"/>
        <v>3170.8612835200001</v>
      </c>
      <c r="BO79" s="124">
        <f t="shared" si="25"/>
        <v>1</v>
      </c>
      <c r="BP79" s="124">
        <f>BP78+BQ79-MIN(BP78,ROUND(BP78*Supuestos!$C$71*Supuestos!$F$13,0))</f>
        <v>574</v>
      </c>
      <c r="BQ79" s="124">
        <f>MAX(0,MIN(ROUND(Supuestos!$F$12*(1+BP$53)*$N79,0),IF(Supuestos!$C$72&gt;0,Supuestos!$C$72-BP78+MIN(BP78,ROUND(BP78*Supuestos!$C$71*Supuestos!$F$13,0)),ROUND(Supuestos!$F$12*(1+BP$53)*$N79,0))))</f>
        <v>11</v>
      </c>
      <c r="BR79" s="124">
        <f t="shared" si="26"/>
        <v>4238.5743881599992</v>
      </c>
      <c r="BS79" s="124">
        <f t="shared" si="27"/>
        <v>1</v>
      </c>
      <c r="BT79" s="124">
        <f>BT78+BU79-MIN(BT78,ROUND(BT78*Supuestos!$C$71*Supuestos!$F$13,0))</f>
        <v>574</v>
      </c>
      <c r="BU79" s="124">
        <f>MAX(0,MIN(ROUND(Supuestos!$F$12*(1+BT$53)*$N79,0),IF(Supuestos!$C$72&gt;0,Supuestos!$C$72-BT78+MIN(BT78,ROUND(BT78*Supuestos!$C$71*Supuestos!$F$13,0)),ROUND(Supuestos!$F$12*(1+BT$53)*$N79,0))))</f>
        <v>11</v>
      </c>
      <c r="BV79" s="124">
        <f t="shared" si="28"/>
        <v>5306.2874927999983</v>
      </c>
      <c r="BW79" s="124">
        <f t="shared" si="29"/>
        <v>1</v>
      </c>
      <c r="BX79" s="124">
        <f>BX78+BY79-MIN(BX78,ROUND(BX78*Supuestos!$C$71*Supuestos!$F$13,0))</f>
        <v>574</v>
      </c>
      <c r="BY79" s="124">
        <f>MAX(0,MIN(ROUND(Supuestos!$F$12*(1+BX$53)*$N79,0),IF(Supuestos!$C$72&gt;0,Supuestos!$C$72-BX78+MIN(BX78,ROUND(BX78*Supuestos!$C$71*Supuestos!$F$13,0)),ROUND(Supuestos!$F$12*(1+BX$53)*$N79,0))))</f>
        <v>11</v>
      </c>
      <c r="BZ79" s="124">
        <f t="shared" si="30"/>
        <v>6374.000597440001</v>
      </c>
      <c r="CA79" s="124">
        <f t="shared" si="31"/>
        <v>1</v>
      </c>
      <c r="CB79" s="124">
        <f>CB78+CC79-MIN(CB78,ROUND(CB78*Supuestos!$C$71*Supuestos!$F$13,0))</f>
        <v>574</v>
      </c>
      <c r="CC79" s="124">
        <f>MAX(0,MIN(ROUND(Supuestos!$F$12*(1+CB$53)*$N79,0),IF(Supuestos!$C$72&gt;0,Supuestos!$C$72-CB78+MIN(CB78,ROUND(CB78*Supuestos!$C$71*Supuestos!$F$13,0)),ROUND(Supuestos!$F$12*(1+CB$53)*$N79,0))))</f>
        <v>11</v>
      </c>
      <c r="CD79" s="124">
        <f t="shared" si="32"/>
        <v>7441.7137020800001</v>
      </c>
      <c r="CE79" s="124">
        <f t="shared" si="33"/>
        <v>1</v>
      </c>
      <c r="CF79" s="124">
        <f>CF78+CG79-MIN(CF78,ROUND(CF78*Supuestos!$C$71*Supuestos!$F$13,0))</f>
        <v>632</v>
      </c>
      <c r="CG79" s="124">
        <f>MAX(0,MIN(ROUND(Supuestos!$F$12*(1+CF$53)*$N79,0),IF(Supuestos!$C$72&gt;0,Supuestos!$C$72-CF78+MIN(CF78,ROUND(CF78*Supuestos!$C$71*Supuestos!$F$13,0)),ROUND(Supuestos!$F$12*(1+CF$53)*$N79,0))))</f>
        <v>12</v>
      </c>
      <c r="CH79" s="124">
        <f t="shared" si="34"/>
        <v>5292.6520473599958</v>
      </c>
      <c r="CI79" s="124">
        <f t="shared" si="35"/>
        <v>1</v>
      </c>
      <c r="CJ79" s="124">
        <f>CJ78+CK79-MIN(CJ78,ROUND(CJ78*Supuestos!$C$71*Supuestos!$F$13,0))</f>
        <v>632</v>
      </c>
      <c r="CK79" s="124">
        <f>MAX(0,MIN(ROUND(Supuestos!$F$12*(1+CJ$53)*$N79,0),IF(Supuestos!$C$72&gt;0,Supuestos!$C$72-CJ78+MIN(CJ78,ROUND(CJ78*Supuestos!$C$71*Supuestos!$F$13,0)),ROUND(Supuestos!$F$12*(1+CJ$53)*$N79,0))))</f>
        <v>12</v>
      </c>
      <c r="CL79" s="124">
        <f t="shared" si="36"/>
        <v>6468.252538879995</v>
      </c>
      <c r="CM79" s="124">
        <f t="shared" si="37"/>
        <v>1</v>
      </c>
      <c r="CN79" s="124">
        <f>CN78+CO79-MIN(CN78,ROUND(CN78*Supuestos!$C$71*Supuestos!$F$13,0))</f>
        <v>632</v>
      </c>
      <c r="CO79" s="124">
        <f>MAX(0,MIN(ROUND(Supuestos!$F$12*(1+CN$53)*$N79,0),IF(Supuestos!$C$72&gt;0,Supuestos!$C$72-CN78+MIN(CN78,ROUND(CN78*Supuestos!$C$71*Supuestos!$F$13,0)),ROUND(Supuestos!$F$12*(1+CN$53)*$N79,0))))</f>
        <v>12</v>
      </c>
      <c r="CP79" s="124">
        <f t="shared" si="38"/>
        <v>7643.8530303999978</v>
      </c>
      <c r="CQ79" s="124">
        <f t="shared" si="39"/>
        <v>1</v>
      </c>
      <c r="CR79" s="124">
        <f>CR78+CS79-MIN(CR78,ROUND(CR78*Supuestos!$C$71*Supuestos!$F$13,0))</f>
        <v>632</v>
      </c>
      <c r="CS79" s="124">
        <f>MAX(0,MIN(ROUND(Supuestos!$F$12*(1+CR$53)*$N79,0),IF(Supuestos!$C$72&gt;0,Supuestos!$C$72-CR78+MIN(CR78,ROUND(CR78*Supuestos!$C$71*Supuestos!$F$13,0)),ROUND(Supuestos!$F$12*(1+CR$53)*$N79,0))))</f>
        <v>12</v>
      </c>
      <c r="CT79" s="124">
        <f t="shared" si="40"/>
        <v>8819.453521919997</v>
      </c>
      <c r="CU79" s="124">
        <f t="shared" si="41"/>
        <v>1</v>
      </c>
      <c r="CV79" s="124">
        <f>CV78+CW79-MIN(CV78,ROUND(CV78*Supuestos!$C$71*Supuestos!$F$13,0))</f>
        <v>632</v>
      </c>
      <c r="CW79" s="124">
        <f>MAX(0,MIN(ROUND(Supuestos!$F$12*(1+CV$53)*$N79,0),IF(Supuestos!$C$72&gt;0,Supuestos!$C$72-CV78+MIN(CV78,ROUND(CV78*Supuestos!$C$71*Supuestos!$F$13,0)),ROUND(Supuestos!$F$12*(1+CV$53)*$N79,0))))</f>
        <v>12</v>
      </c>
      <c r="CX79" s="124">
        <f t="shared" si="42"/>
        <v>9995.0540134399962</v>
      </c>
      <c r="CY79" s="124">
        <f t="shared" si="43"/>
        <v>1</v>
      </c>
      <c r="CZ79" s="124">
        <f>CZ78+DA79-MIN(CZ78,ROUND(CZ78*Supuestos!$C$71*Supuestos!$F$13,0))</f>
        <v>687</v>
      </c>
      <c r="DA79" s="124">
        <f>MAX(0,MIN(ROUND(Supuestos!$F$12*(1+CZ$53)*$N79,0),IF(Supuestos!$C$72&gt;0,Supuestos!$C$72-CZ78+MIN(CZ78,ROUND(CZ78*Supuestos!$C$71*Supuestos!$F$13,0)),ROUND(Supuestos!$F$12*(1+CZ$53)*$N79,0))))</f>
        <v>13</v>
      </c>
      <c r="DB79" s="124">
        <f t="shared" si="44"/>
        <v>7305.7426337599973</v>
      </c>
      <c r="DC79" s="124">
        <f t="shared" si="45"/>
        <v>1</v>
      </c>
      <c r="DD79" s="124">
        <f>DD78+DE79-MIN(DD78,ROUND(DD78*Supuestos!$C$71*Supuestos!$F$13,0))</f>
        <v>687</v>
      </c>
      <c r="DE79" s="124">
        <f>MAX(0,MIN(ROUND(Supuestos!$F$12*(1+DD$53)*$N79,0),IF(Supuestos!$C$72&gt;0,Supuestos!$C$72-DD78+MIN(DD78,ROUND(DD78*Supuestos!$C$71*Supuestos!$F$13,0)),ROUND(Supuestos!$F$12*(1+DD$53)*$N79,0))))</f>
        <v>13</v>
      </c>
      <c r="DF79" s="124">
        <f t="shared" si="46"/>
        <v>8583.6501300799973</v>
      </c>
      <c r="DG79" s="124">
        <f t="shared" si="47"/>
        <v>1</v>
      </c>
      <c r="DH79" s="124">
        <f>DH78+DI79-MIN(DH78,ROUND(DH78*Supuestos!$C$71*Supuestos!$F$13,0))</f>
        <v>687</v>
      </c>
      <c r="DI79" s="124">
        <f>MAX(0,MIN(ROUND(Supuestos!$F$12*(1+DH$53)*$N79,0),IF(Supuestos!$C$72&gt;0,Supuestos!$C$72-DH78+MIN(DH78,ROUND(DH78*Supuestos!$C$71*Supuestos!$F$13,0)),ROUND(Supuestos!$F$12*(1+DH$53)*$N79,0))))</f>
        <v>13</v>
      </c>
      <c r="DJ79" s="124">
        <f t="shared" si="48"/>
        <v>9861.5576263999974</v>
      </c>
      <c r="DK79" s="124">
        <f t="shared" si="49"/>
        <v>1</v>
      </c>
      <c r="DL79" s="124">
        <f>DL78+DM79-MIN(DL78,ROUND(DL78*Supuestos!$C$71*Supuestos!$F$13,0))</f>
        <v>687</v>
      </c>
      <c r="DM79" s="124">
        <f>MAX(0,MIN(ROUND(Supuestos!$F$12*(1+DL$53)*$N79,0),IF(Supuestos!$C$72&gt;0,Supuestos!$C$72-DL78+MIN(DL78,ROUND(DL78*Supuestos!$C$71*Supuestos!$F$13,0)),ROUND(Supuestos!$F$12*(1+DL$53)*$N79,0))))</f>
        <v>13</v>
      </c>
      <c r="DN79" s="124">
        <f t="shared" si="50"/>
        <v>11139.465122719997</v>
      </c>
      <c r="DO79" s="124">
        <f t="shared" si="51"/>
        <v>1</v>
      </c>
      <c r="DP79" s="124">
        <f>DP78+DQ79-MIN(DP78,ROUND(DP78*Supuestos!$C$71*Supuestos!$F$13,0))</f>
        <v>687</v>
      </c>
      <c r="DQ79" s="124">
        <f>MAX(0,MIN(ROUND(Supuestos!$F$12*(1+DP$53)*$N79,0),IF(Supuestos!$C$72&gt;0,Supuestos!$C$72-DP78+MIN(DP78,ROUND(DP78*Supuestos!$C$71*Supuestos!$F$13,0)),ROUND(Supuestos!$F$12*(1+DP$53)*$N79,0))))</f>
        <v>13</v>
      </c>
      <c r="DR79" s="124">
        <f t="shared" si="52"/>
        <v>12417.372619039998</v>
      </c>
      <c r="DS79" s="124">
        <f t="shared" si="53"/>
        <v>1</v>
      </c>
    </row>
    <row r="80" spans="2:123" ht="13.5" customHeight="1" x14ac:dyDescent="0.2">
      <c r="B80" s="7" t="str">
        <f>"Mes 25  ·  "&amp;CHOOSE(MONTH(DATE(YEAR(Supuestos!$C$8),MONTH(Supuestos!$C$8)+(25)-1,1)),"ene","feb","mar","abr","may","jun","jul","ago","sep","oct","nov","dic")&amp;" "&amp;YEAR(DATE(YEAR(Supuestos!$C$8),MONTH(Supuestos!$C$8)+(25)-1,1))</f>
        <v>Mes 25  ·  sep 2029</v>
      </c>
      <c r="C80" s="74">
        <f>'Previsión 36 meses'!$C$90</f>
        <v>613</v>
      </c>
      <c r="D80" s="72">
        <f t="shared" ref="D80:D91" si="55">E$14</f>
        <v>449</v>
      </c>
      <c r="E80" s="59">
        <f>'Previsión 36 meses'!$C$95</f>
        <v>28504.158067499997</v>
      </c>
      <c r="F80" s="59">
        <f>'Previsión 36 meses'!$C$107+'Previsión 36 meses'!$C$111</f>
        <v>20498.537990560006</v>
      </c>
      <c r="G80" s="59">
        <f>'Previsión 36 meses'!$C$112</f>
        <v>8005.6200769399929</v>
      </c>
      <c r="H80" s="59">
        <f>'Previsión 36 meses'!$C$118</f>
        <v>5678.4863028357631</v>
      </c>
      <c r="I80" s="76">
        <f>'Previsión 36 meses'!$C$119</f>
        <v>52931.375908159542</v>
      </c>
      <c r="J80" s="59">
        <f t="shared" si="3"/>
        <v>47846.917616139923</v>
      </c>
      <c r="M80" s="119">
        <v>25</v>
      </c>
      <c r="N80" s="123">
        <f>IF($M80&lt;=12,INDEX(Supuestos!$C$55:$C$66,$M80)+IF($M80=1,Supuestos!$C$52,0),IF($M80&lt;=24,Supuestos!$C$69,Supuestos!$C$70)*IFERROR(INDEX(Supuestos!$C$55:$C$66,MOD($M80-1,12)+1)/AVERAGE(Supuestos!$C$55:$C$66),1))</f>
        <v>61.503416856492017</v>
      </c>
      <c r="O80" s="123">
        <f>Supuestos!$C$45*Supuestos!$F$14*(1+Supuestos!$C$112)^INT(($M80-1)/12)*(1-Supuestos!$C$98)</f>
        <v>38.132610879999994</v>
      </c>
      <c r="P80" s="123">
        <f>(Supuestos!$C$48+Supuestos!$C$49)*(1+Supuestos!$C$112)^INT(($M80-1)/12)*(1-Supuestos!$C$98-Supuestos!$C$99)</f>
        <v>2.8198775</v>
      </c>
      <c r="Q80" s="123">
        <f>Supuestos!$C$47*(1+Supuestos!$C$112)^INT(($M80-1)/12)*(1-Supuestos!$C$98)</f>
        <v>20.760349999999999</v>
      </c>
      <c r="R80" s="120">
        <f>'Previsión 36 meses'!$C$107</f>
        <v>18385.397000000004</v>
      </c>
      <c r="S80" s="120">
        <f t="shared" si="0"/>
        <v>52931.375908159542</v>
      </c>
      <c r="T80" s="120">
        <f t="shared" si="1"/>
        <v>0</v>
      </c>
      <c r="U80" s="22" t="str">
        <f>CHOOSE(MONTH(DATE(YEAR(Supuestos!$C$8),MONTH(Supuestos!$C$8)+(25)-1,1)),"ene","feb","mar","abr","may","jun","jul","ago","sep","oct","nov","dic")&amp;" "&amp;RIGHT(YEAR(DATE(YEAR(Supuestos!$C$8),MONTH(Supuestos!$C$8)+(25)-1,1)),2)</f>
        <v>sep 29</v>
      </c>
      <c r="V80" s="121">
        <f>IF(AND(Supuestos!$C$33&gt;0,J80&gt;=Supuestos!$C$33),1,0)</f>
        <v>0</v>
      </c>
      <c r="X80" s="124">
        <f>X79+Y80-MIN(X79,ROUND(X79*Supuestos!$C$71*Supuestos!$F$13,0))</f>
        <v>491</v>
      </c>
      <c r="Y80" s="124">
        <f>MAX(0,MIN(ROUND(Supuestos!$F$12*(1+X$53)*$N80,0),IF(Supuestos!$C$72&gt;0,Supuestos!$C$72-X79+MIN(X79,ROUND(X79*Supuestos!$C$71*Supuestos!$F$13,0)),ROUND(Supuestos!$F$12*(1+X$53)*$N80,0))))</f>
        <v>49</v>
      </c>
      <c r="Z80" s="124">
        <f t="shared" si="4"/>
        <v>867.22075037199465</v>
      </c>
      <c r="AA80" s="124">
        <f t="shared" si="5"/>
        <v>1</v>
      </c>
      <c r="AB80" s="124">
        <f>AB79+AC80-MIN(AB79,ROUND(AB79*Supuestos!$C$71*Supuestos!$F$13,0))</f>
        <v>491</v>
      </c>
      <c r="AC80" s="124">
        <f>MAX(0,MIN(ROUND(Supuestos!$F$12*(1+AB$53)*$N80,0),IF(Supuestos!$C$72&gt;0,Supuestos!$C$72-AB79+MIN(AB79,ROUND(AB79*Supuestos!$C$71*Supuestos!$F$13,0)),ROUND(Supuestos!$F$12*(1+AB$53)*$N80,0))))</f>
        <v>49</v>
      </c>
      <c r="AD80" s="124">
        <f t="shared" si="6"/>
        <v>1803.3763474759908</v>
      </c>
      <c r="AE80" s="124">
        <f t="shared" si="7"/>
        <v>1</v>
      </c>
      <c r="AF80" s="124">
        <f>AF79+AG80-MIN(AF79,ROUND(AF79*Supuestos!$C$71*Supuestos!$F$13,0))</f>
        <v>491</v>
      </c>
      <c r="AG80" s="124">
        <f>MAX(0,MIN(ROUND(Supuestos!$F$12*(1+AF$53)*$N80,0),IF(Supuestos!$C$72&gt;0,Supuestos!$C$72-AF79+MIN(AF79,ROUND(AF79*Supuestos!$C$71*Supuestos!$F$13,0)),ROUND(Supuestos!$F$12*(1+AF$53)*$N80,0))))</f>
        <v>49</v>
      </c>
      <c r="AH80" s="124">
        <f t="shared" si="8"/>
        <v>2739.5319445799942</v>
      </c>
      <c r="AI80" s="124">
        <f t="shared" si="9"/>
        <v>1</v>
      </c>
      <c r="AJ80" s="124">
        <f>AJ79+AK80-MIN(AJ79,ROUND(AJ79*Supuestos!$C$71*Supuestos!$F$13,0))</f>
        <v>491</v>
      </c>
      <c r="AK80" s="124">
        <f>MAX(0,MIN(ROUND(Supuestos!$F$12*(1+AJ$53)*$N80,0),IF(Supuestos!$C$72&gt;0,Supuestos!$C$72-AJ79+MIN(AJ79,ROUND(AJ79*Supuestos!$C$71*Supuestos!$F$13,0)),ROUND(Supuestos!$F$12*(1+AJ$53)*$N80,0))))</f>
        <v>49</v>
      </c>
      <c r="AL80" s="124">
        <f t="shared" si="10"/>
        <v>3675.6875416839939</v>
      </c>
      <c r="AM80" s="124">
        <f t="shared" si="11"/>
        <v>1</v>
      </c>
      <c r="AN80" s="124">
        <f>AN79+AO80-MIN(AN79,ROUND(AN79*Supuestos!$C$71*Supuestos!$F$13,0))</f>
        <v>491</v>
      </c>
      <c r="AO80" s="124">
        <f>MAX(0,MIN(ROUND(Supuestos!$F$12*(1+AN$53)*$N80,0),IF(Supuestos!$C$72&gt;0,Supuestos!$C$72-AN79+MIN(AN79,ROUND(AN79*Supuestos!$C$71*Supuestos!$F$13,0)),ROUND(Supuestos!$F$12*(1+AN$53)*$N80,0))))</f>
        <v>49</v>
      </c>
      <c r="AP80" s="124">
        <f t="shared" si="12"/>
        <v>4611.8431387879937</v>
      </c>
      <c r="AQ80" s="124">
        <f t="shared" si="13"/>
        <v>1</v>
      </c>
      <c r="AR80" s="124">
        <f>AR79+AS80-MIN(AR79,ROUND(AR79*Supuestos!$C$71*Supuestos!$F$13,0))</f>
        <v>551</v>
      </c>
      <c r="AS80" s="124">
        <f>MAX(0,MIN(ROUND(Supuestos!$F$12*(1+AR$53)*$N80,0),IF(Supuestos!$C$72&gt;0,Supuestos!$C$72-AR79+MIN(AR79,ROUND(AR79*Supuestos!$C$71*Supuestos!$F$13,0)),ROUND(Supuestos!$F$12*(1+AR$53)*$N80,0))))</f>
        <v>55</v>
      </c>
      <c r="AT80" s="124">
        <f t="shared" si="14"/>
        <v>3220.1364878919921</v>
      </c>
      <c r="AU80" s="124">
        <f t="shared" si="15"/>
        <v>1</v>
      </c>
      <c r="AV80" s="124">
        <f>AV79+AW80-MIN(AV79,ROUND(AV79*Supuestos!$C$71*Supuestos!$F$13,0))</f>
        <v>551</v>
      </c>
      <c r="AW80" s="124">
        <f>MAX(0,MIN(ROUND(Supuestos!$F$12*(1+AV$53)*$N80,0),IF(Supuestos!$C$72&gt;0,Supuestos!$C$72-AV79+MIN(AV79,ROUND(AV79*Supuestos!$C$71*Supuestos!$F$13,0)),ROUND(Supuestos!$F$12*(1+AV$53)*$N80,0))))</f>
        <v>55</v>
      </c>
      <c r="AX80" s="124">
        <f t="shared" si="16"/>
        <v>4270.6899176359912</v>
      </c>
      <c r="AY80" s="124">
        <f t="shared" si="17"/>
        <v>1</v>
      </c>
      <c r="AZ80" s="124">
        <f>AZ79+BA80-MIN(AZ79,ROUND(AZ79*Supuestos!$C$71*Supuestos!$F$13,0))</f>
        <v>551</v>
      </c>
      <c r="BA80" s="124">
        <f>MAX(0,MIN(ROUND(Supuestos!$F$12*(1+AZ$53)*$N80,0),IF(Supuestos!$C$72&gt;0,Supuestos!$C$72-AZ79+MIN(AZ79,ROUND(AZ79*Supuestos!$C$71*Supuestos!$F$13,0)),ROUND(Supuestos!$F$12*(1+AZ$53)*$N80,0))))</f>
        <v>55</v>
      </c>
      <c r="BB80" s="124">
        <f t="shared" si="18"/>
        <v>5321.2433473799902</v>
      </c>
      <c r="BC80" s="124">
        <f t="shared" si="19"/>
        <v>1</v>
      </c>
      <c r="BD80" s="124">
        <f>BD79+BE80-MIN(BD79,ROUND(BD79*Supuestos!$C$71*Supuestos!$F$13,0))</f>
        <v>551</v>
      </c>
      <c r="BE80" s="124">
        <f>MAX(0,MIN(ROUND(Supuestos!$F$12*(1+BD$53)*$N80,0),IF(Supuestos!$C$72&gt;0,Supuestos!$C$72-BD79+MIN(BD79,ROUND(BD79*Supuestos!$C$71*Supuestos!$F$13,0)),ROUND(Supuestos!$F$12*(1+BD$53)*$N80,0))))</f>
        <v>55</v>
      </c>
      <c r="BF80" s="124">
        <f t="shared" si="20"/>
        <v>6371.7967771239928</v>
      </c>
      <c r="BG80" s="124">
        <f t="shared" si="21"/>
        <v>1</v>
      </c>
      <c r="BH80" s="124">
        <f>BH79+BI80-MIN(BH79,ROUND(BH79*Supuestos!$C$71*Supuestos!$F$13,0))</f>
        <v>551</v>
      </c>
      <c r="BI80" s="124">
        <f>MAX(0,MIN(ROUND(Supuestos!$F$12*(1+BH$53)*$N80,0),IF(Supuestos!$C$72&gt;0,Supuestos!$C$72-BH79+MIN(BH79,ROUND(BH79*Supuestos!$C$71*Supuestos!$F$13,0)),ROUND(Supuestos!$F$12*(1+BH$53)*$N80,0))))</f>
        <v>55</v>
      </c>
      <c r="BJ80" s="124">
        <f t="shared" si="22"/>
        <v>7422.3502068679918</v>
      </c>
      <c r="BK80" s="124">
        <f t="shared" si="23"/>
        <v>1</v>
      </c>
      <c r="BL80" s="124">
        <f>BL79+BM80-MIN(BL79,ROUND(BL79*Supuestos!$C$71*Supuestos!$F$13,0))</f>
        <v>613</v>
      </c>
      <c r="BM80" s="124">
        <f>MAX(0,MIN(ROUND(Supuestos!$F$12*(1+BL$53)*$N80,0),IF(Supuestos!$C$72&gt;0,Supuestos!$C$72-BL79+MIN(BL79,ROUND(BL79*Supuestos!$C$71*Supuestos!$F$13,0)),ROUND(Supuestos!$F$12*(1+BL$53)*$N80,0))))</f>
        <v>62</v>
      </c>
      <c r="BN80" s="124">
        <f t="shared" si="24"/>
        <v>5668.0910299959905</v>
      </c>
      <c r="BO80" s="124">
        <f t="shared" si="25"/>
        <v>1</v>
      </c>
      <c r="BP80" s="124">
        <f>BP79+BQ80-MIN(BP79,ROUND(BP79*Supuestos!$C$71*Supuestos!$F$13,0))</f>
        <v>613</v>
      </c>
      <c r="BQ80" s="124">
        <f>MAX(0,MIN(ROUND(Supuestos!$F$12*(1+BP$53)*$N80,0),IF(Supuestos!$C$72&gt;0,Supuestos!$C$72-BP79+MIN(BP79,ROUND(BP79*Supuestos!$C$71*Supuestos!$F$13,0)),ROUND(Supuestos!$F$12*(1+BP$53)*$N80,0))))</f>
        <v>62</v>
      </c>
      <c r="BR80" s="124">
        <f t="shared" si="26"/>
        <v>6836.8555534679872</v>
      </c>
      <c r="BS80" s="124">
        <f t="shared" si="27"/>
        <v>1</v>
      </c>
      <c r="BT80" s="124">
        <f>BT79+BU80-MIN(BT79,ROUND(BT79*Supuestos!$C$71*Supuestos!$F$13,0))</f>
        <v>613</v>
      </c>
      <c r="BU80" s="124">
        <f>MAX(0,MIN(ROUND(Supuestos!$F$12*(1+BT$53)*$N80,0),IF(Supuestos!$C$72&gt;0,Supuestos!$C$72-BT79+MIN(BT79,ROUND(BT79*Supuestos!$C$71*Supuestos!$F$13,0)),ROUND(Supuestos!$F$12*(1+BT$53)*$N80,0))))</f>
        <v>62</v>
      </c>
      <c r="BV80" s="124">
        <f t="shared" si="28"/>
        <v>8005.6200769399911</v>
      </c>
      <c r="BW80" s="124">
        <f t="shared" si="29"/>
        <v>1</v>
      </c>
      <c r="BX80" s="124">
        <f>BX79+BY80-MIN(BX79,ROUND(BX79*Supuestos!$C$71*Supuestos!$F$13,0))</f>
        <v>613</v>
      </c>
      <c r="BY80" s="124">
        <f>MAX(0,MIN(ROUND(Supuestos!$F$12*(1+BX$53)*$N80,0),IF(Supuestos!$C$72&gt;0,Supuestos!$C$72-BX79+MIN(BX79,ROUND(BX79*Supuestos!$C$71*Supuestos!$F$13,0)),ROUND(Supuestos!$F$12*(1+BX$53)*$N80,0))))</f>
        <v>62</v>
      </c>
      <c r="BZ80" s="124">
        <f t="shared" si="30"/>
        <v>9174.3846004119914</v>
      </c>
      <c r="CA80" s="124">
        <f t="shared" si="31"/>
        <v>1</v>
      </c>
      <c r="CB80" s="124">
        <f>CB79+CC80-MIN(CB79,ROUND(CB79*Supuestos!$C$71*Supuestos!$F$13,0))</f>
        <v>613</v>
      </c>
      <c r="CC80" s="124">
        <f>MAX(0,MIN(ROUND(Supuestos!$F$12*(1+CB$53)*$N80,0),IF(Supuestos!$C$72&gt;0,Supuestos!$C$72-CB79+MIN(CB79,ROUND(CB79*Supuestos!$C$71*Supuestos!$F$13,0)),ROUND(Supuestos!$F$12*(1+CB$53)*$N80,0))))</f>
        <v>62</v>
      </c>
      <c r="CD80" s="124">
        <f t="shared" si="32"/>
        <v>10343.149123883992</v>
      </c>
      <c r="CE80" s="124">
        <f t="shared" si="33"/>
        <v>1</v>
      </c>
      <c r="CF80" s="124">
        <f>CF79+CG80-MIN(CF79,ROUND(CF79*Supuestos!$C$71*Supuestos!$F$13,0))</f>
        <v>675</v>
      </c>
      <c r="CG80" s="124">
        <f>MAX(0,MIN(ROUND(Supuestos!$F$12*(1+CF$53)*$N80,0),IF(Supuestos!$C$72&gt;0,Supuestos!$C$72-CF79+MIN(CF79,ROUND(CF79*Supuestos!$C$71*Supuestos!$F$13,0)),ROUND(Supuestos!$F$12*(1+CF$53)*$N80,0))))</f>
        <v>68</v>
      </c>
      <c r="CH80" s="124">
        <f t="shared" si="34"/>
        <v>8095.2852220999921</v>
      </c>
      <c r="CI80" s="124">
        <f t="shared" si="35"/>
        <v>1</v>
      </c>
      <c r="CJ80" s="124">
        <f>CJ79+CK80-MIN(CJ79,ROUND(CJ79*Supuestos!$C$71*Supuestos!$F$13,0))</f>
        <v>675</v>
      </c>
      <c r="CK80" s="124">
        <f>MAX(0,MIN(ROUND(Supuestos!$F$12*(1+CJ$53)*$N80,0),IF(Supuestos!$C$72&gt;0,Supuestos!$C$72-CJ79+MIN(CJ79,ROUND(CJ79*Supuestos!$C$71*Supuestos!$F$13,0)),ROUND(Supuestos!$F$12*(1+CJ$53)*$N80,0))))</f>
        <v>68</v>
      </c>
      <c r="CL80" s="124">
        <f t="shared" si="36"/>
        <v>9382.2608392999864</v>
      </c>
      <c r="CM80" s="124">
        <f t="shared" si="37"/>
        <v>1</v>
      </c>
      <c r="CN80" s="124">
        <f>CN79+CO80-MIN(CN79,ROUND(CN79*Supuestos!$C$71*Supuestos!$F$13,0))</f>
        <v>675</v>
      </c>
      <c r="CO80" s="124">
        <f>MAX(0,MIN(ROUND(Supuestos!$F$12*(1+CN$53)*$N80,0),IF(Supuestos!$C$72&gt;0,Supuestos!$C$72-CN79+MIN(CN79,ROUND(CN79*Supuestos!$C$71*Supuestos!$F$13,0)),ROUND(Supuestos!$F$12*(1+CN$53)*$N80,0))))</f>
        <v>68</v>
      </c>
      <c r="CP80" s="124">
        <f t="shared" si="38"/>
        <v>10669.236456499988</v>
      </c>
      <c r="CQ80" s="124">
        <f t="shared" si="39"/>
        <v>1</v>
      </c>
      <c r="CR80" s="124">
        <f>CR79+CS80-MIN(CR79,ROUND(CR79*Supuestos!$C$71*Supuestos!$F$13,0))</f>
        <v>675</v>
      </c>
      <c r="CS80" s="124">
        <f>MAX(0,MIN(ROUND(Supuestos!$F$12*(1+CR$53)*$N80,0),IF(Supuestos!$C$72&gt;0,Supuestos!$C$72-CR79+MIN(CR79,ROUND(CR79*Supuestos!$C$71*Supuestos!$F$13,0)),ROUND(Supuestos!$F$12*(1+CR$53)*$N80,0))))</f>
        <v>68</v>
      </c>
      <c r="CT80" s="124">
        <f t="shared" si="40"/>
        <v>11956.21207369999</v>
      </c>
      <c r="CU80" s="124">
        <f t="shared" si="41"/>
        <v>1</v>
      </c>
      <c r="CV80" s="124">
        <f>CV79+CW80-MIN(CV79,ROUND(CV79*Supuestos!$C$71*Supuestos!$F$13,0))</f>
        <v>675</v>
      </c>
      <c r="CW80" s="124">
        <f>MAX(0,MIN(ROUND(Supuestos!$F$12*(1+CV$53)*$N80,0),IF(Supuestos!$C$72&gt;0,Supuestos!$C$72-CV79+MIN(CV79,ROUND(CV79*Supuestos!$C$71*Supuestos!$F$13,0)),ROUND(Supuestos!$F$12*(1+CV$53)*$N80,0))))</f>
        <v>68</v>
      </c>
      <c r="CX80" s="124">
        <f t="shared" si="42"/>
        <v>13243.187690899991</v>
      </c>
      <c r="CY80" s="124">
        <f t="shared" si="43"/>
        <v>1</v>
      </c>
      <c r="CZ80" s="124">
        <f>CZ79+DA80-MIN(CZ79,ROUND(CZ79*Supuestos!$C$71*Supuestos!$F$13,0))</f>
        <v>734</v>
      </c>
      <c r="DA80" s="124">
        <f>MAX(0,MIN(ROUND(Supuestos!$F$12*(1+CZ$53)*$N80,0),IF(Supuestos!$C$72&gt;0,Supuestos!$C$72-CZ79+MIN(CZ79,ROUND(CZ79*Supuestos!$C$71*Supuestos!$F$13,0)),ROUND(Supuestos!$F$12*(1+CZ$53)*$N80,0))))</f>
        <v>74</v>
      </c>
      <c r="DB80" s="124">
        <f t="shared" si="44"/>
        <v>10411.061732327991</v>
      </c>
      <c r="DC80" s="124">
        <f t="shared" si="45"/>
        <v>1</v>
      </c>
      <c r="DD80" s="124">
        <f>DD79+DE80-MIN(DD79,ROUND(DD79*Supuestos!$C$71*Supuestos!$F$13,0))</f>
        <v>734</v>
      </c>
      <c r="DE80" s="124">
        <f>MAX(0,MIN(ROUND(Supuestos!$F$12*(1+DD$53)*$N80,0),IF(Supuestos!$C$72&gt;0,Supuestos!$C$72-DD79+MIN(DD79,ROUND(DD79*Supuestos!$C$71*Supuestos!$F$13,0)),ROUND(Supuestos!$F$12*(1+DD$53)*$N80,0))))</f>
        <v>74</v>
      </c>
      <c r="DF80" s="124">
        <f t="shared" si="46"/>
        <v>11810.528551623986</v>
      </c>
      <c r="DG80" s="124">
        <f t="shared" si="47"/>
        <v>1</v>
      </c>
      <c r="DH80" s="124">
        <f>DH79+DI80-MIN(DH79,ROUND(DH79*Supuestos!$C$71*Supuestos!$F$13,0))</f>
        <v>734</v>
      </c>
      <c r="DI80" s="124">
        <f>MAX(0,MIN(ROUND(Supuestos!$F$12*(1+DH$53)*$N80,0),IF(Supuestos!$C$72&gt;0,Supuestos!$C$72-DH79+MIN(DH79,ROUND(DH79*Supuestos!$C$71*Supuestos!$F$13,0)),ROUND(Supuestos!$F$12*(1+DH$53)*$N80,0))))</f>
        <v>74</v>
      </c>
      <c r="DJ80" s="124">
        <f t="shared" si="48"/>
        <v>13209.995370919987</v>
      </c>
      <c r="DK80" s="124">
        <f t="shared" si="49"/>
        <v>1</v>
      </c>
      <c r="DL80" s="124">
        <f>DL79+DM80-MIN(DL79,ROUND(DL79*Supuestos!$C$71*Supuestos!$F$13,0))</f>
        <v>734</v>
      </c>
      <c r="DM80" s="124">
        <f>MAX(0,MIN(ROUND(Supuestos!$F$12*(1+DL$53)*$N80,0),IF(Supuestos!$C$72&gt;0,Supuestos!$C$72-DL79+MIN(DL79,ROUND(DL79*Supuestos!$C$71*Supuestos!$F$13,0)),ROUND(Supuestos!$F$12*(1+DL$53)*$N80,0))))</f>
        <v>74</v>
      </c>
      <c r="DN80" s="124">
        <f t="shared" si="50"/>
        <v>14609.462190215992</v>
      </c>
      <c r="DO80" s="124">
        <f t="shared" si="51"/>
        <v>1</v>
      </c>
      <c r="DP80" s="124">
        <f>DP79+DQ80-MIN(DP79,ROUND(DP79*Supuestos!$C$71*Supuestos!$F$13,0))</f>
        <v>734</v>
      </c>
      <c r="DQ80" s="124">
        <f>MAX(0,MIN(ROUND(Supuestos!$F$12*(1+DP$53)*$N80,0),IF(Supuestos!$C$72&gt;0,Supuestos!$C$72-DP79+MIN(DP79,ROUND(DP79*Supuestos!$C$71*Supuestos!$F$13,0)),ROUND(Supuestos!$F$12*(1+DP$53)*$N80,0))))</f>
        <v>74</v>
      </c>
      <c r="DR80" s="124">
        <f t="shared" si="52"/>
        <v>16008.929009511994</v>
      </c>
      <c r="DS80" s="124">
        <f t="shared" si="53"/>
        <v>1</v>
      </c>
    </row>
    <row r="81" spans="2:123" ht="13.5" customHeight="1" x14ac:dyDescent="0.2">
      <c r="B81" s="7" t="str">
        <f>"Mes 26  ·  "&amp;CHOOSE(MONTH(DATE(YEAR(Supuestos!$C$8),MONTH(Supuestos!$C$8)+(26)-1,1)),"ene","feb","mar","abr","may","jun","jul","ago","sep","oct","nov","dic")&amp;" "&amp;YEAR(DATE(YEAR(Supuestos!$C$8),MONTH(Supuestos!$C$8)+(26)-1,1))</f>
        <v>Mes 26  ·  oct 2029</v>
      </c>
      <c r="C81" s="74">
        <f>'Previsión 36 meses'!$D$90</f>
        <v>633</v>
      </c>
      <c r="D81" s="72">
        <f t="shared" si="55"/>
        <v>449</v>
      </c>
      <c r="E81" s="59">
        <f>'Previsión 36 meses'!$D$95</f>
        <v>29034.429517499997</v>
      </c>
      <c r="F81" s="59">
        <f>'Previsión 36 meses'!$D$107+'Previsión 36 meses'!$D$111</f>
        <v>20562.685622960005</v>
      </c>
      <c r="G81" s="59">
        <f>'Previsión 36 meses'!$D$112</f>
        <v>8471.7438945399917</v>
      </c>
      <c r="H81" s="59">
        <f>'Previsión 36 meses'!$D$118</f>
        <v>6144.6101204357619</v>
      </c>
      <c r="I81" s="76">
        <f>'Previsión 36 meses'!$D$119</f>
        <v>59075.986028595304</v>
      </c>
      <c r="J81" s="59">
        <f t="shared" si="3"/>
        <v>56318.661510679914</v>
      </c>
      <c r="M81" s="119">
        <v>26</v>
      </c>
      <c r="N81" s="123">
        <f>IF($M81&lt;=12,INDEX(Supuestos!$C$55:$C$66,$M81)+IF($M81=1,Supuestos!$C$52,0),IF($M81&lt;=24,Supuestos!$C$69,Supuestos!$C$70)*IFERROR(INDEX(Supuestos!$C$55:$C$66,MOD($M81-1,12)+1)/AVERAGE(Supuestos!$C$55:$C$66),1))</f>
        <v>45.102505694760815</v>
      </c>
      <c r="O81" s="123">
        <f>Supuestos!$C$45*Supuestos!$F$14*(1+Supuestos!$C$112)^INT(($M81-1)/12)*(1-Supuestos!$C$98)</f>
        <v>38.132610879999994</v>
      </c>
      <c r="P81" s="123">
        <f>(Supuestos!$C$48+Supuestos!$C$49)*(1+Supuestos!$C$112)^INT(($M81-1)/12)*(1-Supuestos!$C$98-Supuestos!$C$99)</f>
        <v>2.8198775</v>
      </c>
      <c r="Q81" s="123">
        <f>Supuestos!$C$47*(1+Supuestos!$C$112)^INT(($M81-1)/12)*(1-Supuestos!$C$98)</f>
        <v>20.760349999999999</v>
      </c>
      <c r="R81" s="120">
        <f>'Previsión 36 meses'!$D$107</f>
        <v>18385.397000000004</v>
      </c>
      <c r="S81" s="120">
        <f t="shared" si="0"/>
        <v>59075.986028595304</v>
      </c>
      <c r="T81" s="120">
        <f t="shared" si="1"/>
        <v>0</v>
      </c>
      <c r="U81" s="22" t="str">
        <f>CHOOSE(MONTH(DATE(YEAR(Supuestos!$C$8),MONTH(Supuestos!$C$8)+(26)-1,1)),"ene","feb","mar","abr","may","jun","jul","ago","sep","oct","nov","dic")&amp;" "&amp;RIGHT(YEAR(DATE(YEAR(Supuestos!$C$8),MONTH(Supuestos!$C$8)+(26)-1,1)),2)</f>
        <v>oct 29</v>
      </c>
      <c r="V81" s="121">
        <f>IF(AND(Supuestos!$C$33&gt;0,J81&gt;=Supuestos!$C$33),1,0)</f>
        <v>0</v>
      </c>
      <c r="X81" s="124">
        <f>X80+Y81-MIN(X80,ROUND(X80*Supuestos!$C$71*Supuestos!$F$13,0))</f>
        <v>507</v>
      </c>
      <c r="Y81" s="124">
        <f>MAX(0,MIN(ROUND(Supuestos!$F$12*(1+X$53)*$N81,0),IF(Supuestos!$C$72&gt;0,Supuestos!$C$72-X80+MIN(X80,ROUND(X80*Supuestos!$C$71*Supuestos!$F$13,0)),ROUND(Supuestos!$F$12*(1+X$53)*$N81,0))))</f>
        <v>36</v>
      </c>
      <c r="Z81" s="124">
        <f t="shared" si="4"/>
        <v>1191.563837043992</v>
      </c>
      <c r="AA81" s="124">
        <f t="shared" si="5"/>
        <v>1</v>
      </c>
      <c r="AB81" s="124">
        <f>AB80+AC81-MIN(AB80,ROUND(AB80*Supuestos!$C$71*Supuestos!$F$13,0))</f>
        <v>507</v>
      </c>
      <c r="AC81" s="124">
        <f>MAX(0,MIN(ROUND(Supuestos!$F$12*(1+AB$53)*$N81,0),IF(Supuestos!$C$72&gt;0,Supuestos!$C$72-AB80+MIN(AB80,ROUND(AB80*Supuestos!$C$71*Supuestos!$F$13,0)),ROUND(Supuestos!$F$12*(1+AB$53)*$N81,0))))</f>
        <v>36</v>
      </c>
      <c r="AD81" s="124">
        <f t="shared" si="6"/>
        <v>2158.2255228519898</v>
      </c>
      <c r="AE81" s="124">
        <f t="shared" si="7"/>
        <v>1</v>
      </c>
      <c r="AF81" s="124">
        <f>AF80+AG81-MIN(AF80,ROUND(AF80*Supuestos!$C$71*Supuestos!$F$13,0))</f>
        <v>507</v>
      </c>
      <c r="AG81" s="124">
        <f>MAX(0,MIN(ROUND(Supuestos!$F$12*(1+AF$53)*$N81,0),IF(Supuestos!$C$72&gt;0,Supuestos!$C$72-AF80+MIN(AF80,ROUND(AF80*Supuestos!$C$71*Supuestos!$F$13,0)),ROUND(Supuestos!$F$12*(1+AF$53)*$N81,0))))</f>
        <v>36</v>
      </c>
      <c r="AH81" s="124">
        <f t="shared" si="8"/>
        <v>3124.8872086599913</v>
      </c>
      <c r="AI81" s="124">
        <f t="shared" si="9"/>
        <v>1</v>
      </c>
      <c r="AJ81" s="124">
        <f>AJ80+AK81-MIN(AJ80,ROUND(AJ80*Supuestos!$C$71*Supuestos!$F$13,0))</f>
        <v>507</v>
      </c>
      <c r="AK81" s="124">
        <f>MAX(0,MIN(ROUND(Supuestos!$F$12*(1+AJ$53)*$N81,0),IF(Supuestos!$C$72&gt;0,Supuestos!$C$72-AJ80+MIN(AJ80,ROUND(AJ80*Supuestos!$C$71*Supuestos!$F$13,0)),ROUND(Supuestos!$F$12*(1+AJ$53)*$N81,0))))</f>
        <v>36</v>
      </c>
      <c r="AL81" s="124">
        <f t="shared" si="10"/>
        <v>4091.5488944679928</v>
      </c>
      <c r="AM81" s="124">
        <f t="shared" si="11"/>
        <v>1</v>
      </c>
      <c r="AN81" s="124">
        <f>AN80+AO81-MIN(AN80,ROUND(AN80*Supuestos!$C$71*Supuestos!$F$13,0))</f>
        <v>507</v>
      </c>
      <c r="AO81" s="124">
        <f>MAX(0,MIN(ROUND(Supuestos!$F$12*(1+AN$53)*$N81,0),IF(Supuestos!$C$72&gt;0,Supuestos!$C$72-AN80+MIN(AN80,ROUND(AN80*Supuestos!$C$71*Supuestos!$F$13,0)),ROUND(Supuestos!$F$12*(1+AN$53)*$N81,0))))</f>
        <v>36</v>
      </c>
      <c r="AP81" s="124">
        <f t="shared" si="12"/>
        <v>5058.2105802759907</v>
      </c>
      <c r="AQ81" s="124">
        <f t="shared" si="13"/>
        <v>1</v>
      </c>
      <c r="AR81" s="124">
        <f>AR80+AS81-MIN(AR80,ROUND(AR80*Supuestos!$C$71*Supuestos!$F$13,0))</f>
        <v>570</v>
      </c>
      <c r="AS81" s="124">
        <f>MAX(0,MIN(ROUND(Supuestos!$F$12*(1+AR$53)*$N81,0),IF(Supuestos!$C$72&gt;0,Supuestos!$C$72-AR80+MIN(AR80,ROUND(AR80*Supuestos!$C$71*Supuestos!$F$13,0)),ROUND(Supuestos!$F$12*(1+AR$53)*$N81,0))))</f>
        <v>41</v>
      </c>
      <c r="AT81" s="124">
        <f t="shared" si="14"/>
        <v>3635.1369064399914</v>
      </c>
      <c r="AU81" s="124">
        <f t="shared" si="15"/>
        <v>1</v>
      </c>
      <c r="AV81" s="124">
        <f>AV80+AW81-MIN(AV80,ROUND(AV80*Supuestos!$C$71*Supuestos!$F$13,0))</f>
        <v>570</v>
      </c>
      <c r="AW81" s="124">
        <f>MAX(0,MIN(ROUND(Supuestos!$F$12*(1+AV$53)*$N81,0),IF(Supuestos!$C$72&gt;0,Supuestos!$C$72-AV80+MIN(AV80,ROUND(AV80*Supuestos!$C$71*Supuestos!$F$13,0)),ROUND(Supuestos!$F$12*(1+AV$53)*$N81,0))))</f>
        <v>41</v>
      </c>
      <c r="AX81" s="124">
        <f t="shared" si="16"/>
        <v>4721.9163165199898</v>
      </c>
      <c r="AY81" s="124">
        <f t="shared" si="17"/>
        <v>1</v>
      </c>
      <c r="AZ81" s="124">
        <f>AZ80+BA81-MIN(AZ80,ROUND(AZ80*Supuestos!$C$71*Supuestos!$F$13,0))</f>
        <v>570</v>
      </c>
      <c r="BA81" s="124">
        <f>MAX(0,MIN(ROUND(Supuestos!$F$12*(1+AZ$53)*$N81,0),IF(Supuestos!$C$72&gt;0,Supuestos!$C$72-AZ80+MIN(AZ80,ROUND(AZ80*Supuestos!$C$71*Supuestos!$F$13,0)),ROUND(Supuestos!$F$12*(1+AZ$53)*$N81,0))))</f>
        <v>41</v>
      </c>
      <c r="BB81" s="124">
        <f t="shared" si="18"/>
        <v>5808.6957265999918</v>
      </c>
      <c r="BC81" s="124">
        <f t="shared" si="19"/>
        <v>1</v>
      </c>
      <c r="BD81" s="124">
        <f>BD80+BE81-MIN(BD80,ROUND(BD80*Supuestos!$C$71*Supuestos!$F$13,0))</f>
        <v>570</v>
      </c>
      <c r="BE81" s="124">
        <f>MAX(0,MIN(ROUND(Supuestos!$F$12*(1+BD$53)*$N81,0),IF(Supuestos!$C$72&gt;0,Supuestos!$C$72-BD80+MIN(BD80,ROUND(BD80*Supuestos!$C$71*Supuestos!$F$13,0)),ROUND(Supuestos!$F$12*(1+BD$53)*$N81,0))))</f>
        <v>41</v>
      </c>
      <c r="BF81" s="124">
        <f t="shared" si="20"/>
        <v>6895.4751366799937</v>
      </c>
      <c r="BG81" s="124">
        <f t="shared" si="21"/>
        <v>1</v>
      </c>
      <c r="BH81" s="124">
        <f>BH80+BI81-MIN(BH80,ROUND(BH80*Supuestos!$C$71*Supuestos!$F$13,0))</f>
        <v>570</v>
      </c>
      <c r="BI81" s="124">
        <f>MAX(0,MIN(ROUND(Supuestos!$F$12*(1+BH$53)*$N81,0),IF(Supuestos!$C$72&gt;0,Supuestos!$C$72-BH80+MIN(BH80,ROUND(BH80*Supuestos!$C$71*Supuestos!$F$13,0)),ROUND(Supuestos!$F$12*(1+BH$53)*$N81,0))))</f>
        <v>41</v>
      </c>
      <c r="BJ81" s="124">
        <f t="shared" si="22"/>
        <v>7982.2545467599957</v>
      </c>
      <c r="BK81" s="124">
        <f t="shared" si="23"/>
        <v>1</v>
      </c>
      <c r="BL81" s="124">
        <f>BL80+BM81-MIN(BL80,ROUND(BL80*Supuestos!$C$71*Supuestos!$F$13,0))</f>
        <v>633</v>
      </c>
      <c r="BM81" s="124">
        <f>MAX(0,MIN(ROUND(Supuestos!$F$12*(1+BL$53)*$N81,0),IF(Supuestos!$C$72&gt;0,Supuestos!$C$72-BL80+MIN(BL80,ROUND(BL80*Supuestos!$C$71*Supuestos!$F$13,0)),ROUND(Supuestos!$F$12*(1+BL$53)*$N81,0))))</f>
        <v>45</v>
      </c>
      <c r="BN81" s="124">
        <f t="shared" si="24"/>
        <v>6057.9496258359904</v>
      </c>
      <c r="BO81" s="124">
        <f t="shared" si="25"/>
        <v>1</v>
      </c>
      <c r="BP81" s="124">
        <f>BP80+BQ81-MIN(BP80,ROUND(BP80*Supuestos!$C$71*Supuestos!$F$13,0))</f>
        <v>633</v>
      </c>
      <c r="BQ81" s="124">
        <f>MAX(0,MIN(ROUND(Supuestos!$F$12*(1+BP$53)*$N81,0),IF(Supuestos!$C$72&gt;0,Supuestos!$C$72-BP80+MIN(BP80,ROUND(BP80*Supuestos!$C$71*Supuestos!$F$13,0)),ROUND(Supuestos!$F$12*(1+BP$53)*$N81,0))))</f>
        <v>45</v>
      </c>
      <c r="BR81" s="124">
        <f t="shared" si="26"/>
        <v>7264.8467601879893</v>
      </c>
      <c r="BS81" s="124">
        <f t="shared" si="27"/>
        <v>1</v>
      </c>
      <c r="BT81" s="124">
        <f>BT80+BU81-MIN(BT80,ROUND(BT80*Supuestos!$C$71*Supuestos!$F$13,0))</f>
        <v>633</v>
      </c>
      <c r="BU81" s="124">
        <f>MAX(0,MIN(ROUND(Supuestos!$F$12*(1+BT$53)*$N81,0),IF(Supuestos!$C$72&gt;0,Supuestos!$C$72-BT80+MIN(BT80,ROUND(BT80*Supuestos!$C$71*Supuestos!$F$13,0)),ROUND(Supuestos!$F$12*(1+BT$53)*$N81,0))))</f>
        <v>45</v>
      </c>
      <c r="BV81" s="124">
        <f t="shared" si="28"/>
        <v>8471.7438945399881</v>
      </c>
      <c r="BW81" s="124">
        <f t="shared" si="29"/>
        <v>1</v>
      </c>
      <c r="BX81" s="124">
        <f>BX80+BY81-MIN(BX80,ROUND(BX80*Supuestos!$C$71*Supuestos!$F$13,0))</f>
        <v>633</v>
      </c>
      <c r="BY81" s="124">
        <f>MAX(0,MIN(ROUND(Supuestos!$F$12*(1+BX$53)*$N81,0),IF(Supuestos!$C$72&gt;0,Supuestos!$C$72-BX80+MIN(BX80,ROUND(BX80*Supuestos!$C$71*Supuestos!$F$13,0)),ROUND(Supuestos!$F$12*(1+BX$53)*$N81,0))))</f>
        <v>45</v>
      </c>
      <c r="BZ81" s="124">
        <f t="shared" si="30"/>
        <v>9678.6410288919906</v>
      </c>
      <c r="CA81" s="124">
        <f t="shared" si="31"/>
        <v>1</v>
      </c>
      <c r="CB81" s="124">
        <f>CB80+CC81-MIN(CB80,ROUND(CB80*Supuestos!$C$71*Supuestos!$F$13,0))</f>
        <v>633</v>
      </c>
      <c r="CC81" s="124">
        <f>MAX(0,MIN(ROUND(Supuestos!$F$12*(1+CB$53)*$N81,0),IF(Supuestos!$C$72&gt;0,Supuestos!$C$72-CB80+MIN(CB80,ROUND(CB80*Supuestos!$C$71*Supuestos!$F$13,0)),ROUND(Supuestos!$F$12*(1+CB$53)*$N81,0))))</f>
        <v>45</v>
      </c>
      <c r="CD81" s="124">
        <f t="shared" si="32"/>
        <v>10885.538163243993</v>
      </c>
      <c r="CE81" s="124">
        <f t="shared" si="33"/>
        <v>1</v>
      </c>
      <c r="CF81" s="124">
        <f>CF80+CG81-MIN(CF80,ROUND(CF80*Supuestos!$C$71*Supuestos!$F$13,0))</f>
        <v>698</v>
      </c>
      <c r="CG81" s="124">
        <f>MAX(0,MIN(ROUND(Supuestos!$F$12*(1+CF$53)*$N81,0),IF(Supuestos!$C$72&gt;0,Supuestos!$C$72-CF80+MIN(CF80,ROUND(CF80*Supuestos!$C$71*Supuestos!$F$13,0)),ROUND(Supuestos!$F$12*(1+CF$53)*$N81,0))))</f>
        <v>50</v>
      </c>
      <c r="CH81" s="124">
        <f t="shared" si="34"/>
        <v>8575.8011498159904</v>
      </c>
      <c r="CI81" s="124">
        <f t="shared" si="35"/>
        <v>1</v>
      </c>
      <c r="CJ81" s="124">
        <f>CJ80+CK81-MIN(CJ80,ROUND(CJ80*Supuestos!$C$71*Supuestos!$F$13,0))</f>
        <v>698</v>
      </c>
      <c r="CK81" s="124">
        <f>MAX(0,MIN(ROUND(Supuestos!$F$12*(1+CJ$53)*$N81,0),IF(Supuestos!$C$72&gt;0,Supuestos!$C$72-CJ80+MIN(CJ80,ROUND(CJ80*Supuestos!$C$71*Supuestos!$F$13,0)),ROUND(Supuestos!$F$12*(1+CJ$53)*$N81,0))))</f>
        <v>50</v>
      </c>
      <c r="CL81" s="124">
        <f t="shared" si="36"/>
        <v>9906.6292695279844</v>
      </c>
      <c r="CM81" s="124">
        <f t="shared" si="37"/>
        <v>1</v>
      </c>
      <c r="CN81" s="124">
        <f>CN80+CO81-MIN(CN80,ROUND(CN80*Supuestos!$C$71*Supuestos!$F$13,0))</f>
        <v>698</v>
      </c>
      <c r="CO81" s="124">
        <f>MAX(0,MIN(ROUND(Supuestos!$F$12*(1+CN$53)*$N81,0),IF(Supuestos!$C$72&gt;0,Supuestos!$C$72-CN80+MIN(CN80,ROUND(CN80*Supuestos!$C$71*Supuestos!$F$13,0)),ROUND(Supuestos!$F$12*(1+CN$53)*$N81,0))))</f>
        <v>50</v>
      </c>
      <c r="CP81" s="124">
        <f t="shared" si="38"/>
        <v>11237.457389239986</v>
      </c>
      <c r="CQ81" s="124">
        <f t="shared" si="39"/>
        <v>1</v>
      </c>
      <c r="CR81" s="124">
        <f>CR80+CS81-MIN(CR80,ROUND(CR80*Supuestos!$C$71*Supuestos!$F$13,0))</f>
        <v>698</v>
      </c>
      <c r="CS81" s="124">
        <f>MAX(0,MIN(ROUND(Supuestos!$F$12*(1+CR$53)*$N81,0),IF(Supuestos!$C$72&gt;0,Supuestos!$C$72-CR80+MIN(CR80,ROUND(CR80*Supuestos!$C$71*Supuestos!$F$13,0)),ROUND(Supuestos!$F$12*(1+CR$53)*$N81,0))))</f>
        <v>50</v>
      </c>
      <c r="CT81" s="124">
        <f t="shared" si="40"/>
        <v>12568.285508951994</v>
      </c>
      <c r="CU81" s="124">
        <f t="shared" si="41"/>
        <v>1</v>
      </c>
      <c r="CV81" s="124">
        <f>CV80+CW81-MIN(CV80,ROUND(CV80*Supuestos!$C$71*Supuestos!$F$13,0))</f>
        <v>698</v>
      </c>
      <c r="CW81" s="124">
        <f>MAX(0,MIN(ROUND(Supuestos!$F$12*(1+CV$53)*$N81,0),IF(Supuestos!$C$72&gt;0,Supuestos!$C$72-CV80+MIN(CV80,ROUND(CV80*Supuestos!$C$71*Supuestos!$F$13,0)),ROUND(Supuestos!$F$12*(1+CV$53)*$N81,0))))</f>
        <v>50</v>
      </c>
      <c r="CX81" s="124">
        <f t="shared" si="42"/>
        <v>13899.113628663996</v>
      </c>
      <c r="CY81" s="124">
        <f t="shared" si="43"/>
        <v>1</v>
      </c>
      <c r="CZ81" s="124">
        <f>CZ80+DA81-MIN(CZ80,ROUND(CZ80*Supuestos!$C$71*Supuestos!$F$13,0))</f>
        <v>759</v>
      </c>
      <c r="DA81" s="124">
        <f>MAX(0,MIN(ROUND(Supuestos!$F$12*(1+CZ$53)*$N81,0),IF(Supuestos!$C$72&gt;0,Supuestos!$C$72-CZ80+MIN(CZ80,ROUND(CZ80*Supuestos!$C$71*Supuestos!$F$13,0)),ROUND(Supuestos!$F$12*(1+CZ$53)*$N81,0))))</f>
        <v>54</v>
      </c>
      <c r="DB81" s="124">
        <f t="shared" si="44"/>
        <v>10924.335414627993</v>
      </c>
      <c r="DC81" s="124">
        <f t="shared" si="45"/>
        <v>1</v>
      </c>
      <c r="DD81" s="124">
        <f>DD80+DE81-MIN(DD80,ROUND(DD80*Supuestos!$C$71*Supuestos!$F$13,0))</f>
        <v>759</v>
      </c>
      <c r="DE81" s="124">
        <f>MAX(0,MIN(ROUND(Supuestos!$F$12*(1+DD$53)*$N81,0),IF(Supuestos!$C$72&gt;0,Supuestos!$C$72-DD80+MIN(DD80,ROUND(DD80*Supuestos!$C$71*Supuestos!$F$13,0)),ROUND(Supuestos!$F$12*(1+DD$53)*$N81,0))))</f>
        <v>54</v>
      </c>
      <c r="DF81" s="124">
        <f t="shared" si="46"/>
        <v>12371.467997523989</v>
      </c>
      <c r="DG81" s="124">
        <f t="shared" si="47"/>
        <v>1</v>
      </c>
      <c r="DH81" s="124">
        <f>DH80+DI81-MIN(DH80,ROUND(DH80*Supuestos!$C$71*Supuestos!$F$13,0))</f>
        <v>759</v>
      </c>
      <c r="DI81" s="124">
        <f>MAX(0,MIN(ROUND(Supuestos!$F$12*(1+DH$53)*$N81,0),IF(Supuestos!$C$72&gt;0,Supuestos!$C$72-DH80+MIN(DH80,ROUND(DH80*Supuestos!$C$71*Supuestos!$F$13,0)),ROUND(Supuestos!$F$12*(1+DH$53)*$N81,0))))</f>
        <v>54</v>
      </c>
      <c r="DJ81" s="124">
        <f t="shared" si="48"/>
        <v>13818.600580419989</v>
      </c>
      <c r="DK81" s="124">
        <f t="shared" si="49"/>
        <v>1</v>
      </c>
      <c r="DL81" s="124">
        <f>DL80+DM81-MIN(DL80,ROUND(DL80*Supuestos!$C$71*Supuestos!$F$13,0))</f>
        <v>759</v>
      </c>
      <c r="DM81" s="124">
        <f>MAX(0,MIN(ROUND(Supuestos!$F$12*(1+DL$53)*$N81,0),IF(Supuestos!$C$72&gt;0,Supuestos!$C$72-DL80+MIN(DL80,ROUND(DL80*Supuestos!$C$71*Supuestos!$F$13,0)),ROUND(Supuestos!$F$12*(1+DL$53)*$N81,0))))</f>
        <v>54</v>
      </c>
      <c r="DN81" s="124">
        <f t="shared" si="50"/>
        <v>15265.733163315992</v>
      </c>
      <c r="DO81" s="124">
        <f t="shared" si="51"/>
        <v>1</v>
      </c>
      <c r="DP81" s="124">
        <f>DP80+DQ81-MIN(DP80,ROUND(DP80*Supuestos!$C$71*Supuestos!$F$13,0))</f>
        <v>759</v>
      </c>
      <c r="DQ81" s="124">
        <f>MAX(0,MIN(ROUND(Supuestos!$F$12*(1+DP$53)*$N81,0),IF(Supuestos!$C$72&gt;0,Supuestos!$C$72-DP80+MIN(DP80,ROUND(DP80*Supuestos!$C$71*Supuestos!$F$13,0)),ROUND(Supuestos!$F$12*(1+DP$53)*$N81,0))))</f>
        <v>54</v>
      </c>
      <c r="DR81" s="124">
        <f t="shared" si="52"/>
        <v>16712.865746211995</v>
      </c>
      <c r="DS81" s="124">
        <f t="shared" si="53"/>
        <v>1</v>
      </c>
    </row>
    <row r="82" spans="2:123" ht="13.5" customHeight="1" x14ac:dyDescent="0.2">
      <c r="B82" s="7" t="str">
        <f>"Mes 27  ·  "&amp;CHOOSE(MONTH(DATE(YEAR(Supuestos!$C$8),MONTH(Supuestos!$C$8)+(27)-1,1)),"ene","feb","mar","abr","may","jun","jul","ago","sep","oct","nov","dic")&amp;" "&amp;YEAR(DATE(YEAR(Supuestos!$C$8),MONTH(Supuestos!$C$8)+(27)-1,1))</f>
        <v>Mes 27  ·  nov 2029</v>
      </c>
      <c r="C82" s="74">
        <f>'Previsión 36 meses'!$E$90</f>
        <v>641</v>
      </c>
      <c r="D82" s="72">
        <f t="shared" si="55"/>
        <v>449</v>
      </c>
      <c r="E82" s="59">
        <f>'Previsión 36 meses'!$E$95</f>
        <v>29137.273097499994</v>
      </c>
      <c r="F82" s="59">
        <f>'Previsión 36 meses'!$E$107+'Previsión 36 meses'!$E$111</f>
        <v>20587.033495920004</v>
      </c>
      <c r="G82" s="59">
        <f>'Previsión 36 meses'!$E$112</f>
        <v>8550.2396015799895</v>
      </c>
      <c r="H82" s="59">
        <f>'Previsión 36 meses'!$E$118</f>
        <v>6223.1058274757597</v>
      </c>
      <c r="I82" s="76">
        <f>'Previsión 36 meses'!$E$119</f>
        <v>65299.091856071063</v>
      </c>
      <c r="J82" s="59">
        <f t="shared" si="3"/>
        <v>64868.901112259904</v>
      </c>
      <c r="M82" s="119">
        <v>27</v>
      </c>
      <c r="N82" s="123">
        <f>IF($M82&lt;=12,INDEX(Supuestos!$C$55:$C$66,$M82)+IF($M82=1,Supuestos!$C$52,0),IF($M82&lt;=24,Supuestos!$C$69,Supuestos!$C$70)*IFERROR(INDEX(Supuestos!$C$55:$C$66,MOD($M82-1,12)+1)/AVERAGE(Supuestos!$C$55:$C$66),1))</f>
        <v>32.801822323462417</v>
      </c>
      <c r="O82" s="123">
        <f>Supuestos!$C$45*Supuestos!$F$14*(1+Supuestos!$C$112)^INT(($M82-1)/12)*(1-Supuestos!$C$98)</f>
        <v>38.132610879999994</v>
      </c>
      <c r="P82" s="123">
        <f>(Supuestos!$C$48+Supuestos!$C$49)*(1+Supuestos!$C$112)^INT(($M82-1)/12)*(1-Supuestos!$C$98-Supuestos!$C$99)</f>
        <v>2.8198775</v>
      </c>
      <c r="Q82" s="123">
        <f>Supuestos!$C$47*(1+Supuestos!$C$112)^INT(($M82-1)/12)*(1-Supuestos!$C$98)</f>
        <v>20.760349999999999</v>
      </c>
      <c r="R82" s="120">
        <f>'Previsión 36 meses'!$E$107</f>
        <v>18385.397000000004</v>
      </c>
      <c r="S82" s="120">
        <f t="shared" si="0"/>
        <v>65299.091856071063</v>
      </c>
      <c r="T82" s="120">
        <f t="shared" si="1"/>
        <v>0</v>
      </c>
      <c r="U82" s="22" t="str">
        <f>CHOOSE(MONTH(DATE(YEAR(Supuestos!$C$8),MONTH(Supuestos!$C$8)+(27)-1,1)),"ene","feb","mar","abr","may","jun","jul","ago","sep","oct","nov","dic")&amp;" "&amp;RIGHT(YEAR(DATE(YEAR(Supuestos!$C$8),MONTH(Supuestos!$C$8)+(27)-1,1)),2)</f>
        <v>nov 29</v>
      </c>
      <c r="V82" s="121">
        <f>IF(AND(Supuestos!$C$33&gt;0,J82&gt;=Supuestos!$C$33),1,0)</f>
        <v>0</v>
      </c>
      <c r="X82" s="124">
        <f>X81+Y82-MIN(X81,ROUND(X81*Supuestos!$C$71*Supuestos!$F$13,0))</f>
        <v>513</v>
      </c>
      <c r="Y82" s="124">
        <f>MAX(0,MIN(ROUND(Supuestos!$F$12*(1+X$53)*$N82,0),IF(Supuestos!$C$72&gt;0,Supuestos!$C$72-X81+MIN(X81,ROUND(X81*Supuestos!$C$71*Supuestos!$F$13,0)),ROUND(Supuestos!$F$12*(1+X$53)*$N82,0))))</f>
        <v>26</v>
      </c>
      <c r="Z82" s="124">
        <f t="shared" si="4"/>
        <v>1206.7957007959922</v>
      </c>
      <c r="AA82" s="124">
        <f t="shared" si="5"/>
        <v>1</v>
      </c>
      <c r="AB82" s="124">
        <f>AB81+AC82-MIN(AB81,ROUND(AB81*Supuestos!$C$71*Supuestos!$F$13,0))</f>
        <v>513</v>
      </c>
      <c r="AC82" s="124">
        <f>MAX(0,MIN(ROUND(Supuestos!$F$12*(1+AB$53)*$N82,0),IF(Supuestos!$C$72&gt;0,Supuestos!$C$72-AB81+MIN(AB81,ROUND(AB81*Supuestos!$C$71*Supuestos!$F$13,0)),ROUND(Supuestos!$F$12*(1+AB$53)*$N82,0))))</f>
        <v>26</v>
      </c>
      <c r="AD82" s="124">
        <f t="shared" si="6"/>
        <v>2184.8971698679925</v>
      </c>
      <c r="AE82" s="124">
        <f t="shared" si="7"/>
        <v>1</v>
      </c>
      <c r="AF82" s="124">
        <f>AF81+AG82-MIN(AF81,ROUND(AF81*Supuestos!$C$71*Supuestos!$F$13,0))</f>
        <v>513</v>
      </c>
      <c r="AG82" s="124">
        <f>MAX(0,MIN(ROUND(Supuestos!$F$12*(1+AF$53)*$N82,0),IF(Supuestos!$C$72&gt;0,Supuestos!$C$72-AF81+MIN(AF81,ROUND(AF81*Supuestos!$C$71*Supuestos!$F$13,0)),ROUND(Supuestos!$F$12*(1+AF$53)*$N82,0))))</f>
        <v>26</v>
      </c>
      <c r="AH82" s="124">
        <f t="shared" si="8"/>
        <v>3162.9986389399928</v>
      </c>
      <c r="AI82" s="124">
        <f t="shared" si="9"/>
        <v>1</v>
      </c>
      <c r="AJ82" s="124">
        <f>AJ81+AK82-MIN(AJ81,ROUND(AJ81*Supuestos!$C$71*Supuestos!$F$13,0))</f>
        <v>513</v>
      </c>
      <c r="AK82" s="124">
        <f>MAX(0,MIN(ROUND(Supuestos!$F$12*(1+AJ$53)*$N82,0),IF(Supuestos!$C$72&gt;0,Supuestos!$C$72-AJ81+MIN(AJ81,ROUND(AJ81*Supuestos!$C$71*Supuestos!$F$13,0)),ROUND(Supuestos!$F$12*(1+AJ$53)*$N82,0))))</f>
        <v>26</v>
      </c>
      <c r="AL82" s="124">
        <f t="shared" si="10"/>
        <v>4141.1001080119931</v>
      </c>
      <c r="AM82" s="124">
        <f t="shared" si="11"/>
        <v>1</v>
      </c>
      <c r="AN82" s="124">
        <f>AN81+AO82-MIN(AN81,ROUND(AN81*Supuestos!$C$71*Supuestos!$F$13,0))</f>
        <v>513</v>
      </c>
      <c r="AO82" s="124">
        <f>MAX(0,MIN(ROUND(Supuestos!$F$12*(1+AN$53)*$N82,0),IF(Supuestos!$C$72&gt;0,Supuestos!$C$72-AN81+MIN(AN81,ROUND(AN81*Supuestos!$C$71*Supuestos!$F$13,0)),ROUND(Supuestos!$F$12*(1+AN$53)*$N82,0))))</f>
        <v>26</v>
      </c>
      <c r="AP82" s="124">
        <f t="shared" si="12"/>
        <v>5119.2015770839935</v>
      </c>
      <c r="AQ82" s="124">
        <f t="shared" si="13"/>
        <v>1</v>
      </c>
      <c r="AR82" s="124">
        <f>AR81+AS82-MIN(AR81,ROUND(AR81*Supuestos!$C$71*Supuestos!$F$13,0))</f>
        <v>577</v>
      </c>
      <c r="AS82" s="124">
        <f>MAX(0,MIN(ROUND(Supuestos!$F$12*(1+AR$53)*$N82,0),IF(Supuestos!$C$72&gt;0,Supuestos!$C$72-AR81+MIN(AR81,ROUND(AR81*Supuestos!$C$71*Supuestos!$F$13,0)),ROUND(Supuestos!$F$12*(1+AR$53)*$N82,0))))</f>
        <v>30</v>
      </c>
      <c r="AT82" s="124">
        <f t="shared" si="14"/>
        <v>3666.7476474839932</v>
      </c>
      <c r="AU82" s="124">
        <f t="shared" si="15"/>
        <v>1</v>
      </c>
      <c r="AV82" s="124">
        <f>AV81+AW82-MIN(AV81,ROUND(AV81*Supuestos!$C$71*Supuestos!$F$13,0))</f>
        <v>577</v>
      </c>
      <c r="AW82" s="124">
        <f>MAX(0,MIN(ROUND(Supuestos!$F$12*(1+AV$53)*$N82,0),IF(Supuestos!$C$72&gt;0,Supuestos!$C$72-AV81+MIN(AV81,ROUND(AV81*Supuestos!$C$71*Supuestos!$F$13,0)),ROUND(Supuestos!$F$12*(1+AV$53)*$N82,0))))</f>
        <v>30</v>
      </c>
      <c r="AX82" s="124">
        <f t="shared" si="16"/>
        <v>4766.8734713719896</v>
      </c>
      <c r="AY82" s="124">
        <f t="shared" si="17"/>
        <v>1</v>
      </c>
      <c r="AZ82" s="124">
        <f>AZ81+BA82-MIN(AZ81,ROUND(AZ81*Supuestos!$C$71*Supuestos!$F$13,0))</f>
        <v>577</v>
      </c>
      <c r="BA82" s="124">
        <f>MAX(0,MIN(ROUND(Supuestos!$F$12*(1+AZ$53)*$N82,0),IF(Supuestos!$C$72&gt;0,Supuestos!$C$72-AZ81+MIN(AZ81,ROUND(AZ81*Supuestos!$C$71*Supuestos!$F$13,0)),ROUND(Supuestos!$F$12*(1+AZ$53)*$N82,0))))</f>
        <v>30</v>
      </c>
      <c r="BB82" s="124">
        <f t="shared" si="18"/>
        <v>5866.9992952599896</v>
      </c>
      <c r="BC82" s="124">
        <f t="shared" si="19"/>
        <v>1</v>
      </c>
      <c r="BD82" s="124">
        <f>BD81+BE82-MIN(BD81,ROUND(BD81*Supuestos!$C$71*Supuestos!$F$13,0))</f>
        <v>577</v>
      </c>
      <c r="BE82" s="124">
        <f>MAX(0,MIN(ROUND(Supuestos!$F$12*(1+BD$53)*$N82,0),IF(Supuestos!$C$72&gt;0,Supuestos!$C$72-BD81+MIN(BD81,ROUND(BD81*Supuestos!$C$71*Supuestos!$F$13,0)),ROUND(Supuestos!$F$12*(1+BD$53)*$N82,0))))</f>
        <v>30</v>
      </c>
      <c r="BF82" s="124">
        <f t="shared" si="20"/>
        <v>6967.1251191479896</v>
      </c>
      <c r="BG82" s="124">
        <f t="shared" si="21"/>
        <v>1</v>
      </c>
      <c r="BH82" s="124">
        <f>BH81+BI82-MIN(BH81,ROUND(BH81*Supuestos!$C$71*Supuestos!$F$13,0))</f>
        <v>577</v>
      </c>
      <c r="BI82" s="124">
        <f>MAX(0,MIN(ROUND(Supuestos!$F$12*(1+BH$53)*$N82,0),IF(Supuestos!$C$72&gt;0,Supuestos!$C$72-BH81+MIN(BH81,ROUND(BH81*Supuestos!$C$71*Supuestos!$F$13,0)),ROUND(Supuestos!$F$12*(1+BH$53)*$N82,0))))</f>
        <v>30</v>
      </c>
      <c r="BJ82" s="124">
        <f t="shared" si="22"/>
        <v>8067.2509430359933</v>
      </c>
      <c r="BK82" s="124">
        <f t="shared" si="23"/>
        <v>1</v>
      </c>
      <c r="BL82" s="124">
        <f>BL81+BM82-MIN(BL81,ROUND(BL81*Supuestos!$C$71*Supuestos!$F$13,0))</f>
        <v>641</v>
      </c>
      <c r="BM82" s="124">
        <f>MAX(0,MIN(ROUND(Supuestos!$F$12*(1+BL$53)*$N82,0),IF(Supuestos!$C$72&gt;0,Supuestos!$C$72-BL81+MIN(BL81,ROUND(BL81*Supuestos!$C$71*Supuestos!$F$13,0)),ROUND(Supuestos!$F$12*(1+BL$53)*$N82,0))))</f>
        <v>33</v>
      </c>
      <c r="BN82" s="124">
        <f t="shared" si="24"/>
        <v>6105.9392441719938</v>
      </c>
      <c r="BO82" s="124">
        <f t="shared" si="25"/>
        <v>1</v>
      </c>
      <c r="BP82" s="124">
        <f>BP81+BQ82-MIN(BP81,ROUND(BP81*Supuestos!$C$71*Supuestos!$F$13,0))</f>
        <v>641</v>
      </c>
      <c r="BQ82" s="124">
        <f>MAX(0,MIN(ROUND(Supuestos!$F$12*(1+BP$53)*$N82,0),IF(Supuestos!$C$72&gt;0,Supuestos!$C$72-BP81+MIN(BP81,ROUND(BP81*Supuestos!$C$71*Supuestos!$F$13,0)),ROUND(Supuestos!$F$12*(1+BP$53)*$N82,0))))</f>
        <v>33</v>
      </c>
      <c r="BR82" s="124">
        <f t="shared" si="26"/>
        <v>7328.0894228759898</v>
      </c>
      <c r="BS82" s="124">
        <f t="shared" si="27"/>
        <v>1</v>
      </c>
      <c r="BT82" s="124">
        <f>BT81+BU82-MIN(BT81,ROUND(BT81*Supuestos!$C$71*Supuestos!$F$13,0))</f>
        <v>641</v>
      </c>
      <c r="BU82" s="124">
        <f>MAX(0,MIN(ROUND(Supuestos!$F$12*(1+BT$53)*$N82,0),IF(Supuestos!$C$72&gt;0,Supuestos!$C$72-BT81+MIN(BT81,ROUND(BT81*Supuestos!$C$71*Supuestos!$F$13,0)),ROUND(Supuestos!$F$12*(1+BT$53)*$N82,0))))</f>
        <v>33</v>
      </c>
      <c r="BV82" s="124">
        <f t="shared" si="28"/>
        <v>8550.2396015799895</v>
      </c>
      <c r="BW82" s="124">
        <f t="shared" si="29"/>
        <v>1</v>
      </c>
      <c r="BX82" s="124">
        <f>BX81+BY82-MIN(BX81,ROUND(BX81*Supuestos!$C$71*Supuestos!$F$13,0))</f>
        <v>641</v>
      </c>
      <c r="BY82" s="124">
        <f>MAX(0,MIN(ROUND(Supuestos!$F$12*(1+BX$53)*$N82,0),IF(Supuestos!$C$72&gt;0,Supuestos!$C$72-BX81+MIN(BX81,ROUND(BX81*Supuestos!$C$71*Supuestos!$F$13,0)),ROUND(Supuestos!$F$12*(1+BX$53)*$N82,0))))</f>
        <v>33</v>
      </c>
      <c r="BZ82" s="124">
        <f t="shared" si="30"/>
        <v>9772.3897802839929</v>
      </c>
      <c r="CA82" s="124">
        <f t="shared" si="31"/>
        <v>1</v>
      </c>
      <c r="CB82" s="124">
        <f>CB81+CC82-MIN(CB81,ROUND(CB81*Supuestos!$C$71*Supuestos!$F$13,0))</f>
        <v>641</v>
      </c>
      <c r="CC82" s="124">
        <f>MAX(0,MIN(ROUND(Supuestos!$F$12*(1+CB$53)*$N82,0),IF(Supuestos!$C$72&gt;0,Supuestos!$C$72-CB81+MIN(CB81,ROUND(CB81*Supuestos!$C$71*Supuestos!$F$13,0)),ROUND(Supuestos!$F$12*(1+CB$53)*$N82,0))))</f>
        <v>33</v>
      </c>
      <c r="CD82" s="124">
        <f t="shared" si="32"/>
        <v>10994.539958987993</v>
      </c>
      <c r="CE82" s="124">
        <f t="shared" si="33"/>
        <v>1</v>
      </c>
      <c r="CF82" s="124">
        <f>CF81+CG82-MIN(CF81,ROUND(CF81*Supuestos!$C$71*Supuestos!$F$13,0))</f>
        <v>706</v>
      </c>
      <c r="CG82" s="124">
        <f>MAX(0,MIN(ROUND(Supuestos!$F$12*(1+CF$53)*$N82,0),IF(Supuestos!$C$72&gt;0,Supuestos!$C$72-CF81+MIN(CF81,ROUND(CF81*Supuestos!$C$71*Supuestos!$F$13,0)),ROUND(Supuestos!$F$12*(1+CF$53)*$N82,0))))</f>
        <v>36</v>
      </c>
      <c r="CH82" s="124">
        <f t="shared" si="34"/>
        <v>8582.2700681519891</v>
      </c>
      <c r="CI82" s="124">
        <f t="shared" si="35"/>
        <v>1</v>
      </c>
      <c r="CJ82" s="124">
        <f>CJ81+CK82-MIN(CJ81,ROUND(CJ81*Supuestos!$C$71*Supuestos!$F$13,0))</f>
        <v>706</v>
      </c>
      <c r="CK82" s="124">
        <f>MAX(0,MIN(ROUND(Supuestos!$F$12*(1+CJ$53)*$N82,0),IF(Supuestos!$C$72&gt;0,Supuestos!$C$72-CJ81+MIN(CJ81,ROUND(CJ81*Supuestos!$C$71*Supuestos!$F$13,0)),ROUND(Supuestos!$F$12*(1+CJ$53)*$N82,0))))</f>
        <v>36</v>
      </c>
      <c r="CL82" s="124">
        <f t="shared" si="36"/>
        <v>9928.3512322159877</v>
      </c>
      <c r="CM82" s="124">
        <f t="shared" si="37"/>
        <v>1</v>
      </c>
      <c r="CN82" s="124">
        <f>CN81+CO82-MIN(CN81,ROUND(CN81*Supuestos!$C$71*Supuestos!$F$13,0))</f>
        <v>706</v>
      </c>
      <c r="CO82" s="124">
        <f>MAX(0,MIN(ROUND(Supuestos!$F$12*(1+CN$53)*$N82,0),IF(Supuestos!$C$72&gt;0,Supuestos!$C$72-CN81+MIN(CN81,ROUND(CN81*Supuestos!$C$71*Supuestos!$F$13,0)),ROUND(Supuestos!$F$12*(1+CN$53)*$N82,0))))</f>
        <v>36</v>
      </c>
      <c r="CP82" s="124">
        <f t="shared" si="38"/>
        <v>11274.43239627999</v>
      </c>
      <c r="CQ82" s="124">
        <f t="shared" si="39"/>
        <v>1</v>
      </c>
      <c r="CR82" s="124">
        <f>CR81+CS82-MIN(CR81,ROUND(CR81*Supuestos!$C$71*Supuestos!$F$13,0))</f>
        <v>706</v>
      </c>
      <c r="CS82" s="124">
        <f>MAX(0,MIN(ROUND(Supuestos!$F$12*(1+CR$53)*$N82,0),IF(Supuestos!$C$72&gt;0,Supuestos!$C$72-CR81+MIN(CR81,ROUND(CR81*Supuestos!$C$71*Supuestos!$F$13,0)),ROUND(Supuestos!$F$12*(1+CR$53)*$N82,0))))</f>
        <v>36</v>
      </c>
      <c r="CT82" s="124">
        <f t="shared" si="40"/>
        <v>12620.513560343989</v>
      </c>
      <c r="CU82" s="124">
        <f t="shared" si="41"/>
        <v>1</v>
      </c>
      <c r="CV82" s="124">
        <f>CV81+CW82-MIN(CV81,ROUND(CV81*Supuestos!$C$71*Supuestos!$F$13,0))</f>
        <v>706</v>
      </c>
      <c r="CW82" s="124">
        <f>MAX(0,MIN(ROUND(Supuestos!$F$12*(1+CV$53)*$N82,0),IF(Supuestos!$C$72&gt;0,Supuestos!$C$72-CV81+MIN(CV81,ROUND(CV81*Supuestos!$C$71*Supuestos!$F$13,0)),ROUND(Supuestos!$F$12*(1+CV$53)*$N82,0))))</f>
        <v>36</v>
      </c>
      <c r="CX82" s="124">
        <f t="shared" si="42"/>
        <v>13966.594724407991</v>
      </c>
      <c r="CY82" s="124">
        <f t="shared" si="43"/>
        <v>1</v>
      </c>
      <c r="CZ82" s="124">
        <f>CZ81+DA82-MIN(CZ81,ROUND(CZ81*Supuestos!$C$71*Supuestos!$F$13,0))</f>
        <v>768</v>
      </c>
      <c r="DA82" s="124">
        <f>MAX(0,MIN(ROUND(Supuestos!$F$12*(1+CZ$53)*$N82,0),IF(Supuestos!$C$72&gt;0,Supuestos!$C$72-CZ81+MIN(CZ81,ROUND(CZ81*Supuestos!$C$71*Supuestos!$F$13,0)),ROUND(Supuestos!$F$12*(1+CZ$53)*$N82,0))))</f>
        <v>39</v>
      </c>
      <c r="DB82" s="124">
        <f t="shared" si="44"/>
        <v>10947.183210255993</v>
      </c>
      <c r="DC82" s="124">
        <f t="shared" si="45"/>
        <v>1</v>
      </c>
      <c r="DD82" s="124">
        <f>DD81+DE82-MIN(DD81,ROUND(DD81*Supuestos!$C$71*Supuestos!$F$13,0))</f>
        <v>768</v>
      </c>
      <c r="DE82" s="124">
        <f>MAX(0,MIN(ROUND(Supuestos!$F$12*(1+DD$53)*$N82,0),IF(Supuestos!$C$72&gt;0,Supuestos!$C$72-DD81+MIN(DD81,ROUND(DD81*Supuestos!$C$71*Supuestos!$F$13,0)),ROUND(Supuestos!$F$12*(1+DD$53)*$N82,0))))</f>
        <v>39</v>
      </c>
      <c r="DF82" s="124">
        <f t="shared" si="46"/>
        <v>12411.475468047989</v>
      </c>
      <c r="DG82" s="124">
        <f t="shared" si="47"/>
        <v>1</v>
      </c>
      <c r="DH82" s="124">
        <f>DH81+DI82-MIN(DH81,ROUND(DH81*Supuestos!$C$71*Supuestos!$F$13,0))</f>
        <v>768</v>
      </c>
      <c r="DI82" s="124">
        <f>MAX(0,MIN(ROUND(Supuestos!$F$12*(1+DH$53)*$N82,0),IF(Supuestos!$C$72&gt;0,Supuestos!$C$72-DH81+MIN(DH81,ROUND(DH81*Supuestos!$C$71*Supuestos!$F$13,0)),ROUND(Supuestos!$F$12*(1+DH$53)*$N82,0))))</f>
        <v>39</v>
      </c>
      <c r="DJ82" s="124">
        <f t="shared" si="48"/>
        <v>13875.767725839989</v>
      </c>
      <c r="DK82" s="124">
        <f t="shared" si="49"/>
        <v>1</v>
      </c>
      <c r="DL82" s="124">
        <f>DL81+DM82-MIN(DL81,ROUND(DL81*Supuestos!$C$71*Supuestos!$F$13,0))</f>
        <v>768</v>
      </c>
      <c r="DM82" s="124">
        <f>MAX(0,MIN(ROUND(Supuestos!$F$12*(1+DL$53)*$N82,0),IF(Supuestos!$C$72&gt;0,Supuestos!$C$72-DL81+MIN(DL81,ROUND(DL81*Supuestos!$C$71*Supuestos!$F$13,0)),ROUND(Supuestos!$F$12*(1+DL$53)*$N82,0))))</f>
        <v>39</v>
      </c>
      <c r="DN82" s="124">
        <f t="shared" si="50"/>
        <v>15340.059983631989</v>
      </c>
      <c r="DO82" s="124">
        <f t="shared" si="51"/>
        <v>1</v>
      </c>
      <c r="DP82" s="124">
        <f>DP81+DQ82-MIN(DP81,ROUND(DP81*Supuestos!$C$71*Supuestos!$F$13,0))</f>
        <v>768</v>
      </c>
      <c r="DQ82" s="124">
        <f>MAX(0,MIN(ROUND(Supuestos!$F$12*(1+DP$53)*$N82,0),IF(Supuestos!$C$72&gt;0,Supuestos!$C$72-DP81+MIN(DP81,ROUND(DP81*Supuestos!$C$71*Supuestos!$F$13,0)),ROUND(Supuestos!$F$12*(1+DP$53)*$N82,0))))</f>
        <v>39</v>
      </c>
      <c r="DR82" s="124">
        <f t="shared" si="52"/>
        <v>16804.352241423992</v>
      </c>
      <c r="DS82" s="124">
        <f t="shared" si="53"/>
        <v>1</v>
      </c>
    </row>
    <row r="83" spans="2:123" ht="13.5" customHeight="1" x14ac:dyDescent="0.2">
      <c r="B83" s="7" t="str">
        <f>"Mes 28  ·  "&amp;CHOOSE(MONTH(DATE(YEAR(Supuestos!$C$8),MONTH(Supuestos!$C$8)+(28)-1,1)),"ene","feb","mar","abr","may","jun","jul","ago","sep","oct","nov","dic")&amp;" "&amp;YEAR(DATE(YEAR(Supuestos!$C$8),MONTH(Supuestos!$C$8)+(28)-1,1))</f>
        <v>Mes 28  ·  dic 2029</v>
      </c>
      <c r="C83" s="74">
        <f>'Previsión 36 meses'!$F$90</f>
        <v>636</v>
      </c>
      <c r="D83" s="72">
        <f t="shared" si="55"/>
        <v>449</v>
      </c>
      <c r="E83" s="59">
        <f>'Previsión 36 meses'!$F$95</f>
        <v>28663.252109999998</v>
      </c>
      <c r="F83" s="59">
        <f>'Previsión 36 meses'!$F$107+'Previsión 36 meses'!$F$111</f>
        <v>20566.899150320005</v>
      </c>
      <c r="G83" s="59">
        <f>'Previsión 36 meses'!$F$112</f>
        <v>8096.3529596799926</v>
      </c>
      <c r="H83" s="59">
        <f>'Previsión 36 meses'!$F$118</f>
        <v>5769.2191855757628</v>
      </c>
      <c r="I83" s="76">
        <f>'Previsión 36 meses'!$F$119</f>
        <v>71068.311041646826</v>
      </c>
      <c r="J83" s="59">
        <f t="shared" si="3"/>
        <v>72965.254071939897</v>
      </c>
      <c r="M83" s="119">
        <v>28</v>
      </c>
      <c r="N83" s="123">
        <f>IF($M83&lt;=12,INDEX(Supuestos!$C$55:$C$66,$M83)+IF($M83=1,Supuestos!$C$52,0),IF($M83&lt;=24,Supuestos!$C$69,Supuestos!$C$70)*IFERROR(INDEX(Supuestos!$C$55:$C$66,MOD($M83-1,12)+1)/AVERAGE(Supuestos!$C$55:$C$66),1))</f>
        <v>20.501138952164009</v>
      </c>
      <c r="O83" s="123">
        <f>Supuestos!$C$45*Supuestos!$F$14*(1+Supuestos!$C$112)^INT(($M83-1)/12)*(1-Supuestos!$C$98)</f>
        <v>38.132610879999994</v>
      </c>
      <c r="P83" s="123">
        <f>(Supuestos!$C$48+Supuestos!$C$49)*(1+Supuestos!$C$112)^INT(($M83-1)/12)*(1-Supuestos!$C$98-Supuestos!$C$99)</f>
        <v>2.8198775</v>
      </c>
      <c r="Q83" s="123">
        <f>Supuestos!$C$47*(1+Supuestos!$C$112)^INT(($M83-1)/12)*(1-Supuestos!$C$98)</f>
        <v>20.760349999999999</v>
      </c>
      <c r="R83" s="120">
        <f>'Previsión 36 meses'!$F$107</f>
        <v>18385.397000000004</v>
      </c>
      <c r="S83" s="120">
        <f t="shared" si="0"/>
        <v>71068.311041646826</v>
      </c>
      <c r="T83" s="120">
        <f t="shared" si="1"/>
        <v>0</v>
      </c>
      <c r="U83" s="22" t="str">
        <f>CHOOSE(MONTH(DATE(YEAR(Supuestos!$C$8),MONTH(Supuestos!$C$8)+(28)-1,1)),"ene","feb","mar","abr","may","jun","jul","ago","sep","oct","nov","dic")&amp;" "&amp;RIGHT(YEAR(DATE(YEAR(Supuestos!$C$8),MONTH(Supuestos!$C$8)+(28)-1,1)),2)</f>
        <v>dic 29</v>
      </c>
      <c r="V83" s="121">
        <f>IF(AND(Supuestos!$C$33&gt;0,J83&gt;=Supuestos!$C$33),1,0)</f>
        <v>0</v>
      </c>
      <c r="X83" s="124">
        <f>X82+Y83-MIN(X82,ROUND(X82*Supuestos!$C$71*Supuestos!$F$13,0))</f>
        <v>508</v>
      </c>
      <c r="Y83" s="124">
        <f>MAX(0,MIN(ROUND(Supuestos!$F$12*(1+X$53)*$N83,0),IF(Supuestos!$C$72&gt;0,Supuestos!$C$72-X82+MIN(X82,ROUND(X82*Supuestos!$C$71*Supuestos!$F$13,0)),ROUND(Supuestos!$F$12*(1+X$53)*$N83,0))))</f>
        <v>16</v>
      </c>
      <c r="Z83" s="124">
        <f t="shared" si="4"/>
        <v>813.49606433599183</v>
      </c>
      <c r="AA83" s="124">
        <f t="shared" si="5"/>
        <v>1</v>
      </c>
      <c r="AB83" s="124">
        <f>AB82+AC83-MIN(AB82,ROUND(AB82*Supuestos!$C$71*Supuestos!$F$13,0))</f>
        <v>508</v>
      </c>
      <c r="AC83" s="124">
        <f>MAX(0,MIN(ROUND(Supuestos!$F$12*(1+AB$53)*$N83,0),IF(Supuestos!$C$72&gt;0,Supuestos!$C$72-AB82+MIN(AB82,ROUND(AB82*Supuestos!$C$71*Supuestos!$F$13,0)),ROUND(Supuestos!$F$12*(1+AB$53)*$N83,0))))</f>
        <v>16</v>
      </c>
      <c r="AD83" s="124">
        <f t="shared" si="6"/>
        <v>1782.0643806879889</v>
      </c>
      <c r="AE83" s="124">
        <f t="shared" si="7"/>
        <v>1</v>
      </c>
      <c r="AF83" s="124">
        <f>AF82+AG83-MIN(AF82,ROUND(AF82*Supuestos!$C$71*Supuestos!$F$13,0))</f>
        <v>508</v>
      </c>
      <c r="AG83" s="124">
        <f>MAX(0,MIN(ROUND(Supuestos!$F$12*(1+AF$53)*$N83,0),IF(Supuestos!$C$72&gt;0,Supuestos!$C$72-AF82+MIN(AF82,ROUND(AF82*Supuestos!$C$71*Supuestos!$F$13,0)),ROUND(Supuestos!$F$12*(1+AF$53)*$N83,0))))</f>
        <v>16</v>
      </c>
      <c r="AH83" s="124">
        <f t="shared" si="8"/>
        <v>2750.6326970399896</v>
      </c>
      <c r="AI83" s="124">
        <f t="shared" si="9"/>
        <v>1</v>
      </c>
      <c r="AJ83" s="124">
        <f>AJ82+AK83-MIN(AJ82,ROUND(AJ82*Supuestos!$C$71*Supuestos!$F$13,0))</f>
        <v>508</v>
      </c>
      <c r="AK83" s="124">
        <f>MAX(0,MIN(ROUND(Supuestos!$F$12*(1+AJ$53)*$N83,0),IF(Supuestos!$C$72&gt;0,Supuestos!$C$72-AJ82+MIN(AJ82,ROUND(AJ82*Supuestos!$C$71*Supuestos!$F$13,0)),ROUND(Supuestos!$F$12*(1+AJ$53)*$N83,0))))</f>
        <v>16</v>
      </c>
      <c r="AL83" s="124">
        <f t="shared" si="10"/>
        <v>3719.2010133919939</v>
      </c>
      <c r="AM83" s="124">
        <f t="shared" si="11"/>
        <v>1</v>
      </c>
      <c r="AN83" s="124">
        <f>AN82+AO83-MIN(AN82,ROUND(AN82*Supuestos!$C$71*Supuestos!$F$13,0))</f>
        <v>508</v>
      </c>
      <c r="AO83" s="124">
        <f>MAX(0,MIN(ROUND(Supuestos!$F$12*(1+AN$53)*$N83,0),IF(Supuestos!$C$72&gt;0,Supuestos!$C$72-AN82+MIN(AN82,ROUND(AN82*Supuestos!$C$71*Supuestos!$F$13,0)),ROUND(Supuestos!$F$12*(1+AN$53)*$N83,0))))</f>
        <v>16</v>
      </c>
      <c r="AP83" s="124">
        <f t="shared" si="12"/>
        <v>4687.7693297439946</v>
      </c>
      <c r="AQ83" s="124">
        <f t="shared" si="13"/>
        <v>1</v>
      </c>
      <c r="AR83" s="124">
        <f>AR82+AS83-MIN(AR82,ROUND(AR82*Supuestos!$C$71*Supuestos!$F$13,0))</f>
        <v>572</v>
      </c>
      <c r="AS83" s="124">
        <f>MAX(0,MIN(ROUND(Supuestos!$F$12*(1+AR$53)*$N83,0),IF(Supuestos!$C$72&gt;0,Supuestos!$C$72-AR82+MIN(AR82,ROUND(AR82*Supuestos!$C$71*Supuestos!$F$13,0)),ROUND(Supuestos!$F$12*(1+AR$53)*$N83,0))))</f>
        <v>18</v>
      </c>
      <c r="AT83" s="124">
        <f t="shared" si="14"/>
        <v>3231.9273110239919</v>
      </c>
      <c r="AU83" s="124">
        <f t="shared" si="15"/>
        <v>1</v>
      </c>
      <c r="AV83" s="124">
        <f>AV82+AW83-MIN(AV82,ROUND(AV82*Supuestos!$C$71*Supuestos!$F$13,0))</f>
        <v>572</v>
      </c>
      <c r="AW83" s="124">
        <f>MAX(0,MIN(ROUND(Supuestos!$F$12*(1+AV$53)*$N83,0),IF(Supuestos!$C$72&gt;0,Supuestos!$C$72-AV82+MIN(AV82,ROUND(AV82*Supuestos!$C$71*Supuestos!$F$13,0)),ROUND(Supuestos!$F$12*(1+AV$53)*$N83,0))))</f>
        <v>18</v>
      </c>
      <c r="AX83" s="124">
        <f t="shared" si="16"/>
        <v>4322.5199821919887</v>
      </c>
      <c r="AY83" s="124">
        <f t="shared" si="17"/>
        <v>1</v>
      </c>
      <c r="AZ83" s="124">
        <f>AZ82+BA83-MIN(AZ82,ROUND(AZ82*Supuestos!$C$71*Supuestos!$F$13,0))</f>
        <v>572</v>
      </c>
      <c r="BA83" s="124">
        <f>MAX(0,MIN(ROUND(Supuestos!$F$12*(1+AZ$53)*$N83,0),IF(Supuestos!$C$72&gt;0,Supuestos!$C$72-AZ82+MIN(AZ82,ROUND(AZ82*Supuestos!$C$71*Supuestos!$F$13,0)),ROUND(Supuestos!$F$12*(1+AZ$53)*$N83,0))))</f>
        <v>18</v>
      </c>
      <c r="BB83" s="124">
        <f t="shared" si="18"/>
        <v>5413.1126533599927</v>
      </c>
      <c r="BC83" s="124">
        <f t="shared" si="19"/>
        <v>1</v>
      </c>
      <c r="BD83" s="124">
        <f>BD82+BE83-MIN(BD82,ROUND(BD82*Supuestos!$C$71*Supuestos!$F$13,0))</f>
        <v>572</v>
      </c>
      <c r="BE83" s="124">
        <f>MAX(0,MIN(ROUND(Supuestos!$F$12*(1+BD$53)*$N83,0),IF(Supuestos!$C$72&gt;0,Supuestos!$C$72-BD82+MIN(BD82,ROUND(BD82*Supuestos!$C$71*Supuestos!$F$13,0)),ROUND(Supuestos!$F$12*(1+BD$53)*$N83,0))))</f>
        <v>18</v>
      </c>
      <c r="BF83" s="124">
        <f t="shared" si="20"/>
        <v>6503.7053245279931</v>
      </c>
      <c r="BG83" s="124">
        <f t="shared" si="21"/>
        <v>1</v>
      </c>
      <c r="BH83" s="124">
        <f>BH82+BI83-MIN(BH82,ROUND(BH82*Supuestos!$C$71*Supuestos!$F$13,0))</f>
        <v>572</v>
      </c>
      <c r="BI83" s="124">
        <f>MAX(0,MIN(ROUND(Supuestos!$F$12*(1+BH$53)*$N83,0),IF(Supuestos!$C$72&gt;0,Supuestos!$C$72-BH82+MIN(BH82,ROUND(BH82*Supuestos!$C$71*Supuestos!$F$13,0)),ROUND(Supuestos!$F$12*(1+BH$53)*$N83,0))))</f>
        <v>18</v>
      </c>
      <c r="BJ83" s="124">
        <f t="shared" si="22"/>
        <v>7594.2979956959934</v>
      </c>
      <c r="BK83" s="124">
        <f t="shared" si="23"/>
        <v>1</v>
      </c>
      <c r="BL83" s="124">
        <f>BL82+BM83-MIN(BL82,ROUND(BL82*Supuestos!$C$71*Supuestos!$F$13,0))</f>
        <v>636</v>
      </c>
      <c r="BM83" s="124">
        <f>MAX(0,MIN(ROUND(Supuestos!$F$12*(1+BL$53)*$N83,0),IF(Supuestos!$C$72&gt;0,Supuestos!$C$72-BL82+MIN(BL82,ROUND(BL82*Supuestos!$C$71*Supuestos!$F$13,0)),ROUND(Supuestos!$F$12*(1+BL$53)*$N83,0))))</f>
        <v>21</v>
      </c>
      <c r="BN83" s="124">
        <f t="shared" si="24"/>
        <v>5671.1189077119889</v>
      </c>
      <c r="BO83" s="124">
        <f t="shared" si="25"/>
        <v>1</v>
      </c>
      <c r="BP83" s="124">
        <f>BP82+BQ83-MIN(BP82,ROUND(BP82*Supuestos!$C$71*Supuestos!$F$13,0))</f>
        <v>636</v>
      </c>
      <c r="BQ83" s="124">
        <f>MAX(0,MIN(ROUND(Supuestos!$F$12*(1+BP$53)*$N83,0),IF(Supuestos!$C$72&gt;0,Supuestos!$C$72-BP82+MIN(BP82,ROUND(BP82*Supuestos!$C$71*Supuestos!$F$13,0)),ROUND(Supuestos!$F$12*(1+BP$53)*$N83,0))))</f>
        <v>21</v>
      </c>
      <c r="BR83" s="124">
        <f t="shared" si="26"/>
        <v>6883.7359336959889</v>
      </c>
      <c r="BS83" s="124">
        <f t="shared" si="27"/>
        <v>1</v>
      </c>
      <c r="BT83" s="124">
        <f>BT82+BU83-MIN(BT82,ROUND(BT82*Supuestos!$C$71*Supuestos!$F$13,0))</f>
        <v>636</v>
      </c>
      <c r="BU83" s="124">
        <f>MAX(0,MIN(ROUND(Supuestos!$F$12*(1+BT$53)*$N83,0),IF(Supuestos!$C$72&gt;0,Supuestos!$C$72-BT82+MIN(BT82,ROUND(BT82*Supuestos!$C$71*Supuestos!$F$13,0)),ROUND(Supuestos!$F$12*(1+BT$53)*$N83,0))))</f>
        <v>21</v>
      </c>
      <c r="BV83" s="124">
        <f t="shared" si="28"/>
        <v>8096.352959679989</v>
      </c>
      <c r="BW83" s="124">
        <f t="shared" si="29"/>
        <v>1</v>
      </c>
      <c r="BX83" s="124">
        <f>BX82+BY83-MIN(BX82,ROUND(BX82*Supuestos!$C$71*Supuestos!$F$13,0))</f>
        <v>636</v>
      </c>
      <c r="BY83" s="124">
        <f>MAX(0,MIN(ROUND(Supuestos!$F$12*(1+BX$53)*$N83,0),IF(Supuestos!$C$72&gt;0,Supuestos!$C$72-BX82+MIN(BX82,ROUND(BX82*Supuestos!$C$71*Supuestos!$F$13,0)),ROUND(Supuestos!$F$12*(1+BX$53)*$N83,0))))</f>
        <v>21</v>
      </c>
      <c r="BZ83" s="124">
        <f t="shared" si="30"/>
        <v>9308.9699856639891</v>
      </c>
      <c r="CA83" s="124">
        <f t="shared" si="31"/>
        <v>1</v>
      </c>
      <c r="CB83" s="124">
        <f>CB82+CC83-MIN(CB82,ROUND(CB82*Supuestos!$C$71*Supuestos!$F$13,0))</f>
        <v>636</v>
      </c>
      <c r="CC83" s="124">
        <f>MAX(0,MIN(ROUND(Supuestos!$F$12*(1+CB$53)*$N83,0),IF(Supuestos!$C$72&gt;0,Supuestos!$C$72-CB82+MIN(CB82,ROUND(CB82*Supuestos!$C$71*Supuestos!$F$13,0)),ROUND(Supuestos!$F$12*(1+CB$53)*$N83,0))))</f>
        <v>21</v>
      </c>
      <c r="CD83" s="124">
        <f t="shared" si="32"/>
        <v>10521.587011647993</v>
      </c>
      <c r="CE83" s="124">
        <f t="shared" si="33"/>
        <v>1</v>
      </c>
      <c r="CF83" s="124">
        <f>CF82+CG83-MIN(CF82,ROUND(CF82*Supuestos!$C$71*Supuestos!$F$13,0))</f>
        <v>701</v>
      </c>
      <c r="CG83" s="124">
        <f>MAX(0,MIN(ROUND(Supuestos!$F$12*(1+CF$53)*$N83,0),IF(Supuestos!$C$72&gt;0,Supuestos!$C$72-CF82+MIN(CF82,ROUND(CF82*Supuestos!$C$71*Supuestos!$F$13,0)),ROUND(Supuestos!$F$12*(1+CF$53)*$N83,0))))</f>
        <v>23</v>
      </c>
      <c r="CH83" s="124">
        <f t="shared" si="34"/>
        <v>8126.689381691991</v>
      </c>
      <c r="CI83" s="124">
        <f t="shared" si="35"/>
        <v>1</v>
      </c>
      <c r="CJ83" s="124">
        <f>CJ82+CK83-MIN(CJ82,ROUND(CJ82*Supuestos!$C$71*Supuestos!$F$13,0))</f>
        <v>701</v>
      </c>
      <c r="CK83" s="124">
        <f>MAX(0,MIN(ROUND(Supuestos!$F$12*(1+CJ$53)*$N83,0),IF(Supuestos!$C$72&gt;0,Supuestos!$C$72-CJ82+MIN(CJ82,ROUND(CJ82*Supuestos!$C$71*Supuestos!$F$13,0)),ROUND(Supuestos!$F$12*(1+CJ$53)*$N83,0))))</f>
        <v>23</v>
      </c>
      <c r="CL83" s="124">
        <f t="shared" si="36"/>
        <v>9463.2373930359863</v>
      </c>
      <c r="CM83" s="124">
        <f t="shared" si="37"/>
        <v>1</v>
      </c>
      <c r="CN83" s="124">
        <f>CN82+CO83-MIN(CN82,ROUND(CN82*Supuestos!$C$71*Supuestos!$F$13,0))</f>
        <v>701</v>
      </c>
      <c r="CO83" s="124">
        <f>MAX(0,MIN(ROUND(Supuestos!$F$12*(1+CN$53)*$N83,0),IF(Supuestos!$C$72&gt;0,Supuestos!$C$72-CN82+MIN(CN82,ROUND(CN82*Supuestos!$C$71*Supuestos!$F$13,0)),ROUND(Supuestos!$F$12*(1+CN$53)*$N83,0))))</f>
        <v>23</v>
      </c>
      <c r="CP83" s="124">
        <f t="shared" si="38"/>
        <v>10799.785404379989</v>
      </c>
      <c r="CQ83" s="124">
        <f t="shared" si="39"/>
        <v>1</v>
      </c>
      <c r="CR83" s="124">
        <f>CR82+CS83-MIN(CR82,ROUND(CR82*Supuestos!$C$71*Supuestos!$F$13,0))</f>
        <v>701</v>
      </c>
      <c r="CS83" s="124">
        <f>MAX(0,MIN(ROUND(Supuestos!$F$12*(1+CR$53)*$N83,0),IF(Supuestos!$C$72&gt;0,Supuestos!$C$72-CR82+MIN(CR82,ROUND(CR82*Supuestos!$C$71*Supuestos!$F$13,0)),ROUND(Supuestos!$F$12*(1+CR$53)*$N83,0))))</f>
        <v>23</v>
      </c>
      <c r="CT83" s="124">
        <f t="shared" si="40"/>
        <v>12136.333415723991</v>
      </c>
      <c r="CU83" s="124">
        <f t="shared" si="41"/>
        <v>1</v>
      </c>
      <c r="CV83" s="124">
        <f>CV82+CW83-MIN(CV82,ROUND(CV82*Supuestos!$C$71*Supuestos!$F$13,0))</f>
        <v>701</v>
      </c>
      <c r="CW83" s="124">
        <f>MAX(0,MIN(ROUND(Supuestos!$F$12*(1+CV$53)*$N83,0),IF(Supuestos!$C$72&gt;0,Supuestos!$C$72-CV82+MIN(CV82,ROUND(CV82*Supuestos!$C$71*Supuestos!$F$13,0)),ROUND(Supuestos!$F$12*(1+CV$53)*$N83,0))))</f>
        <v>23</v>
      </c>
      <c r="CX83" s="124">
        <f t="shared" si="42"/>
        <v>13472.881427067994</v>
      </c>
      <c r="CY83" s="124">
        <f t="shared" si="43"/>
        <v>1</v>
      </c>
      <c r="CZ83" s="124">
        <f>CZ82+DA83-MIN(CZ82,ROUND(CZ82*Supuestos!$C$71*Supuestos!$F$13,0))</f>
        <v>762</v>
      </c>
      <c r="DA83" s="124">
        <f>MAX(0,MIN(ROUND(Supuestos!$F$12*(1+CZ$53)*$N83,0),IF(Supuestos!$C$72&gt;0,Supuestos!$C$72-CZ82+MIN(CZ82,ROUND(CZ82*Supuestos!$C$71*Supuestos!$F$13,0)),ROUND(Supuestos!$F$12*(1+CZ$53)*$N83,0))))</f>
        <v>25</v>
      </c>
      <c r="DB83" s="124">
        <f t="shared" si="44"/>
        <v>10433.702946503992</v>
      </c>
      <c r="DC83" s="124">
        <f t="shared" si="45"/>
        <v>1</v>
      </c>
      <c r="DD83" s="124">
        <f>DD82+DE83-MIN(DD82,ROUND(DD82*Supuestos!$C$71*Supuestos!$F$13,0))</f>
        <v>762</v>
      </c>
      <c r="DE83" s="124">
        <f>MAX(0,MIN(ROUND(Supuestos!$F$12*(1+DD$53)*$N83,0),IF(Supuestos!$C$72&gt;0,Supuestos!$C$72-DD82+MIN(DD82,ROUND(DD82*Supuestos!$C$71*Supuestos!$F$13,0)),ROUND(Supuestos!$F$12*(1+DD$53)*$N83,0))))</f>
        <v>25</v>
      </c>
      <c r="DF83" s="124">
        <f t="shared" si="46"/>
        <v>11886.55542103199</v>
      </c>
      <c r="DG83" s="124">
        <f t="shared" si="47"/>
        <v>1</v>
      </c>
      <c r="DH83" s="124">
        <f>DH82+DI83-MIN(DH82,ROUND(DH82*Supuestos!$C$71*Supuestos!$F$13,0))</f>
        <v>762</v>
      </c>
      <c r="DI83" s="124">
        <f>MAX(0,MIN(ROUND(Supuestos!$F$12*(1+DH$53)*$N83,0),IF(Supuestos!$C$72&gt;0,Supuestos!$C$72-DH82+MIN(DH82,ROUND(DH82*Supuestos!$C$71*Supuestos!$F$13,0)),ROUND(Supuestos!$F$12*(1+DH$53)*$N83,0))))</f>
        <v>25</v>
      </c>
      <c r="DJ83" s="124">
        <f t="shared" si="48"/>
        <v>13339.407895559991</v>
      </c>
      <c r="DK83" s="124">
        <f t="shared" si="49"/>
        <v>1</v>
      </c>
      <c r="DL83" s="124">
        <f>DL82+DM83-MIN(DL82,ROUND(DL82*Supuestos!$C$71*Supuestos!$F$13,0))</f>
        <v>762</v>
      </c>
      <c r="DM83" s="124">
        <f>MAX(0,MIN(ROUND(Supuestos!$F$12*(1+DL$53)*$N83,0),IF(Supuestos!$C$72&gt;0,Supuestos!$C$72-DL82+MIN(DL82,ROUND(DL82*Supuestos!$C$71*Supuestos!$F$13,0)),ROUND(Supuestos!$F$12*(1+DL$53)*$N83,0))))</f>
        <v>25</v>
      </c>
      <c r="DN83" s="124">
        <f t="shared" si="50"/>
        <v>14792.260370087992</v>
      </c>
      <c r="DO83" s="124">
        <f t="shared" si="51"/>
        <v>1</v>
      </c>
      <c r="DP83" s="124">
        <f>DP82+DQ83-MIN(DP82,ROUND(DP82*Supuestos!$C$71*Supuestos!$F$13,0))</f>
        <v>762</v>
      </c>
      <c r="DQ83" s="124">
        <f>MAX(0,MIN(ROUND(Supuestos!$F$12*(1+DP$53)*$N83,0),IF(Supuestos!$C$72&gt;0,Supuestos!$C$72-DP82+MIN(DP82,ROUND(DP82*Supuestos!$C$71*Supuestos!$F$13,0)),ROUND(Supuestos!$F$12*(1+DP$53)*$N83,0))))</f>
        <v>25</v>
      </c>
      <c r="DR83" s="124">
        <f t="shared" si="52"/>
        <v>16245.112844615993</v>
      </c>
      <c r="DS83" s="124">
        <f t="shared" si="53"/>
        <v>1</v>
      </c>
    </row>
    <row r="84" spans="2:123" ht="13.5" customHeight="1" x14ac:dyDescent="0.2">
      <c r="B84" s="7" t="str">
        <f>"Mes 29  ·  "&amp;CHOOSE(MONTH(DATE(YEAR(Supuestos!$C$8),MONTH(Supuestos!$C$8)+(29)-1,1)),"ene","feb","mar","abr","may","jun","jul","ago","sep","oct","nov","dic")&amp;" "&amp;YEAR(DATE(YEAR(Supuestos!$C$8),MONTH(Supuestos!$C$8)+(29)-1,1))</f>
        <v>Mes 29  ·  ene 2030</v>
      </c>
      <c r="C84" s="74">
        <f>'Previsión 36 meses'!$G$90</f>
        <v>660</v>
      </c>
      <c r="D84" s="72">
        <f t="shared" si="55"/>
        <v>449</v>
      </c>
      <c r="E84" s="59">
        <f>'Previsión 36 meses'!$G$95</f>
        <v>30316.582849999995</v>
      </c>
      <c r="F84" s="59">
        <f>'Previsión 36 meses'!$G$107+'Previsión 36 meses'!$G$111</f>
        <v>20656.080369200004</v>
      </c>
      <c r="G84" s="59">
        <f>'Previsión 36 meses'!$G$112</f>
        <v>9660.5024807999907</v>
      </c>
      <c r="H84" s="59">
        <f>'Previsión 36 meses'!$G$118</f>
        <v>7333.3687066957609</v>
      </c>
      <c r="I84" s="76">
        <f>'Previsión 36 meses'!$G$119</f>
        <v>78401.679748342591</v>
      </c>
      <c r="J84" s="59">
        <f t="shared" si="3"/>
        <v>82625.756552739884</v>
      </c>
      <c r="M84" s="119">
        <v>29</v>
      </c>
      <c r="N84" s="123">
        <f>IF($M84&lt;=12,INDEX(Supuestos!$C$55:$C$66,$M84)+IF($M84=1,Supuestos!$C$52,0),IF($M84&lt;=24,Supuestos!$C$69,Supuestos!$C$70)*IFERROR(INDEX(Supuestos!$C$55:$C$66,MOD($M84-1,12)+1)/AVERAGE(Supuestos!$C$55:$C$66),1))</f>
        <v>49.202733485193619</v>
      </c>
      <c r="O84" s="123">
        <f>Supuestos!$C$45*Supuestos!$F$14*(1+Supuestos!$C$112)^INT(($M84-1)/12)*(1-Supuestos!$C$98)</f>
        <v>38.132610879999994</v>
      </c>
      <c r="P84" s="123">
        <f>(Supuestos!$C$48+Supuestos!$C$49)*(1+Supuestos!$C$112)^INT(($M84-1)/12)*(1-Supuestos!$C$98-Supuestos!$C$99)</f>
        <v>2.8198775</v>
      </c>
      <c r="Q84" s="123">
        <f>Supuestos!$C$47*(1+Supuestos!$C$112)^INT(($M84-1)/12)*(1-Supuestos!$C$98)</f>
        <v>20.760349999999999</v>
      </c>
      <c r="R84" s="120">
        <f>'Previsión 36 meses'!$G$107</f>
        <v>18385.397000000004</v>
      </c>
      <c r="S84" s="120">
        <f t="shared" si="0"/>
        <v>78401.679748342591</v>
      </c>
      <c r="T84" s="120">
        <f t="shared" si="1"/>
        <v>0</v>
      </c>
      <c r="U84" s="22" t="str">
        <f>CHOOSE(MONTH(DATE(YEAR(Supuestos!$C$8),MONTH(Supuestos!$C$8)+(29)-1,1)),"ene","feb","mar","abr","may","jun","jul","ago","sep","oct","nov","dic")&amp;" "&amp;RIGHT(YEAR(DATE(YEAR(Supuestos!$C$8),MONTH(Supuestos!$C$8)+(29)-1,1)),2)</f>
        <v>ene 30</v>
      </c>
      <c r="V84" s="121">
        <f>IF(AND(Supuestos!$C$33&gt;0,J84&gt;=Supuestos!$C$33),1,0)</f>
        <v>0</v>
      </c>
      <c r="X84" s="124">
        <f>X83+Y84-MIN(X83,ROUND(X83*Supuestos!$C$71*Supuestos!$F$13,0))</f>
        <v>527</v>
      </c>
      <c r="Y84" s="124">
        <f>MAX(0,MIN(ROUND(Supuestos!$F$12*(1+X$53)*$N84,0),IF(Supuestos!$C$72&gt;0,Supuestos!$C$72-X83+MIN(X83,ROUND(X83*Supuestos!$C$71*Supuestos!$F$13,0)),ROUND(Supuestos!$F$12*(1+X$53)*$N84,0))))</f>
        <v>39</v>
      </c>
      <c r="Z84" s="124">
        <f t="shared" si="4"/>
        <v>1996.629432883994</v>
      </c>
      <c r="AA84" s="124">
        <f t="shared" si="5"/>
        <v>1</v>
      </c>
      <c r="AB84" s="124">
        <f>AB83+AC84-MIN(AB83,ROUND(AB83*Supuestos!$C$71*Supuestos!$F$13,0))</f>
        <v>527</v>
      </c>
      <c r="AC84" s="124">
        <f>MAX(0,MIN(ROUND(Supuestos!$F$12*(1+AB$53)*$N84,0),IF(Supuestos!$C$72&gt;0,Supuestos!$C$72-AB83+MIN(AB83,ROUND(AB83*Supuestos!$C$71*Supuestos!$F$13,0)),ROUND(Supuestos!$F$12*(1+AB$53)*$N84,0))))</f>
        <v>39</v>
      </c>
      <c r="AD84" s="124">
        <f t="shared" si="6"/>
        <v>3001.4237295719904</v>
      </c>
      <c r="AE84" s="124">
        <f t="shared" si="7"/>
        <v>1</v>
      </c>
      <c r="AF84" s="124">
        <f>AF83+AG84-MIN(AF83,ROUND(AF83*Supuestos!$C$71*Supuestos!$F$13,0))</f>
        <v>527</v>
      </c>
      <c r="AG84" s="124">
        <f>MAX(0,MIN(ROUND(Supuestos!$F$12*(1+AF$53)*$N84,0),IF(Supuestos!$C$72&gt;0,Supuestos!$C$72-AF83+MIN(AF83,ROUND(AF83*Supuestos!$C$71*Supuestos!$F$13,0)),ROUND(Supuestos!$F$12*(1+AF$53)*$N84,0))))</f>
        <v>39</v>
      </c>
      <c r="AH84" s="124">
        <f t="shared" si="8"/>
        <v>4006.2180262599904</v>
      </c>
      <c r="AI84" s="124">
        <f t="shared" si="9"/>
        <v>1</v>
      </c>
      <c r="AJ84" s="124">
        <f>AJ83+AK84-MIN(AJ83,ROUND(AJ83*Supuestos!$C$71*Supuestos!$F$13,0))</f>
        <v>527</v>
      </c>
      <c r="AK84" s="124">
        <f>MAX(0,MIN(ROUND(Supuestos!$F$12*(1+AJ$53)*$N84,0),IF(Supuestos!$C$72&gt;0,Supuestos!$C$72-AJ83+MIN(AJ83,ROUND(AJ83*Supuestos!$C$71*Supuestos!$F$13,0)),ROUND(Supuestos!$F$12*(1+AJ$53)*$N84,0))))</f>
        <v>39</v>
      </c>
      <c r="AL84" s="124">
        <f t="shared" si="10"/>
        <v>5011.0123229479905</v>
      </c>
      <c r="AM84" s="124">
        <f t="shared" si="11"/>
        <v>1</v>
      </c>
      <c r="AN84" s="124">
        <f>AN83+AO84-MIN(AN83,ROUND(AN83*Supuestos!$C$71*Supuestos!$F$13,0))</f>
        <v>527</v>
      </c>
      <c r="AO84" s="124">
        <f>MAX(0,MIN(ROUND(Supuestos!$F$12*(1+AN$53)*$N84,0),IF(Supuestos!$C$72&gt;0,Supuestos!$C$72-AN83+MIN(AN83,ROUND(AN83*Supuestos!$C$71*Supuestos!$F$13,0)),ROUND(Supuestos!$F$12*(1+AN$53)*$N84,0))))</f>
        <v>39</v>
      </c>
      <c r="AP84" s="124">
        <f t="shared" si="12"/>
        <v>6015.8066196359941</v>
      </c>
      <c r="AQ84" s="124">
        <f t="shared" si="13"/>
        <v>1</v>
      </c>
      <c r="AR84" s="124">
        <f>AR83+AS84-MIN(AR83,ROUND(AR83*Supuestos!$C$71*Supuestos!$F$13,0))</f>
        <v>593</v>
      </c>
      <c r="AS84" s="124">
        <f>MAX(0,MIN(ROUND(Supuestos!$F$12*(1+AR$53)*$N84,0),IF(Supuestos!$C$72&gt;0,Supuestos!$C$72-AR83+MIN(AR83,ROUND(AR83*Supuestos!$C$71*Supuestos!$F$13,0)),ROUND(Supuestos!$F$12*(1+AR$53)*$N84,0))))</f>
        <v>44</v>
      </c>
      <c r="AT84" s="124">
        <f t="shared" si="14"/>
        <v>4551.6201841559923</v>
      </c>
      <c r="AU84" s="124">
        <f t="shared" si="15"/>
        <v>1</v>
      </c>
      <c r="AV84" s="124">
        <f>AV83+AW84-MIN(AV83,ROUND(AV83*Supuestos!$C$71*Supuestos!$F$13,0))</f>
        <v>593</v>
      </c>
      <c r="AW84" s="124">
        <f>MAX(0,MIN(ROUND(Supuestos!$F$12*(1+AV$53)*$N84,0),IF(Supuestos!$C$72&gt;0,Supuestos!$C$72-AV83+MIN(AV83,ROUND(AV83*Supuestos!$C$71*Supuestos!$F$13,0)),ROUND(Supuestos!$F$12*(1+AV$53)*$N84,0))))</f>
        <v>44</v>
      </c>
      <c r="AX84" s="124">
        <f t="shared" si="16"/>
        <v>5682.2520967479868</v>
      </c>
      <c r="AY84" s="124">
        <f t="shared" si="17"/>
        <v>1</v>
      </c>
      <c r="AZ84" s="124">
        <f>AZ83+BA84-MIN(AZ83,ROUND(AZ83*Supuestos!$C$71*Supuestos!$F$13,0))</f>
        <v>593</v>
      </c>
      <c r="BA84" s="124">
        <f>MAX(0,MIN(ROUND(Supuestos!$F$12*(1+AZ$53)*$N84,0),IF(Supuestos!$C$72&gt;0,Supuestos!$C$72-AZ83+MIN(AZ83,ROUND(AZ83*Supuestos!$C$71*Supuestos!$F$13,0)),ROUND(Supuestos!$F$12*(1+AZ$53)*$N84,0))))</f>
        <v>44</v>
      </c>
      <c r="BB84" s="124">
        <f t="shared" si="18"/>
        <v>6812.8840093399886</v>
      </c>
      <c r="BC84" s="124">
        <f t="shared" si="19"/>
        <v>1</v>
      </c>
      <c r="BD84" s="124">
        <f>BD83+BE84-MIN(BD83,ROUND(BD83*Supuestos!$C$71*Supuestos!$F$13,0))</f>
        <v>593</v>
      </c>
      <c r="BE84" s="124">
        <f>MAX(0,MIN(ROUND(Supuestos!$F$12*(1+BD$53)*$N84,0),IF(Supuestos!$C$72&gt;0,Supuestos!$C$72-BD83+MIN(BD83,ROUND(BD83*Supuestos!$C$71*Supuestos!$F$13,0)),ROUND(Supuestos!$F$12*(1+BD$53)*$N84,0))))</f>
        <v>44</v>
      </c>
      <c r="BF84" s="124">
        <f t="shared" si="20"/>
        <v>7943.5159219319903</v>
      </c>
      <c r="BG84" s="124">
        <f t="shared" si="21"/>
        <v>1</v>
      </c>
      <c r="BH84" s="124">
        <f>BH83+BI84-MIN(BH83,ROUND(BH83*Supuestos!$C$71*Supuestos!$F$13,0))</f>
        <v>593</v>
      </c>
      <c r="BI84" s="124">
        <f>MAX(0,MIN(ROUND(Supuestos!$F$12*(1+BH$53)*$N84,0),IF(Supuestos!$C$72&gt;0,Supuestos!$C$72-BH83+MIN(BH83,ROUND(BH83*Supuestos!$C$71*Supuestos!$F$13,0)),ROUND(Supuestos!$F$12*(1+BH$53)*$N84,0))))</f>
        <v>44</v>
      </c>
      <c r="BJ84" s="124">
        <f t="shared" si="22"/>
        <v>9074.1478345239921</v>
      </c>
      <c r="BK84" s="124">
        <f t="shared" si="23"/>
        <v>1</v>
      </c>
      <c r="BL84" s="124">
        <f>BL83+BM84-MIN(BL83,ROUND(BL83*Supuestos!$C$71*Supuestos!$F$13,0))</f>
        <v>660</v>
      </c>
      <c r="BM84" s="124">
        <f>MAX(0,MIN(ROUND(Supuestos!$F$12*(1+BL$53)*$N84,0),IF(Supuestos!$C$72&gt;0,Supuestos!$C$72-BL83+MIN(BL83,ROUND(BL83*Supuestos!$C$71*Supuestos!$F$13,0)),ROUND(Supuestos!$F$12*(1+BL$53)*$N84,0))))</f>
        <v>49</v>
      </c>
      <c r="BN84" s="124">
        <f t="shared" si="24"/>
        <v>7143.7501627199927</v>
      </c>
      <c r="BO84" s="124">
        <f t="shared" si="25"/>
        <v>1</v>
      </c>
      <c r="BP84" s="124">
        <f>BP83+BQ84-MIN(BP83,ROUND(BP83*Supuestos!$C$71*Supuestos!$F$13,0))</f>
        <v>660</v>
      </c>
      <c r="BQ84" s="124">
        <f>MAX(0,MIN(ROUND(Supuestos!$F$12*(1+BP$53)*$N84,0),IF(Supuestos!$C$72&gt;0,Supuestos!$C$72-BP83+MIN(BP83,ROUND(BP83*Supuestos!$C$71*Supuestos!$F$13,0)),ROUND(Supuestos!$F$12*(1+BP$53)*$N84,0))))</f>
        <v>49</v>
      </c>
      <c r="BR84" s="124">
        <f t="shared" si="26"/>
        <v>8402.1263217599881</v>
      </c>
      <c r="BS84" s="124">
        <f t="shared" si="27"/>
        <v>1</v>
      </c>
      <c r="BT84" s="124">
        <f>BT83+BU84-MIN(BT83,ROUND(BT83*Supuestos!$C$71*Supuestos!$F$13,0))</f>
        <v>660</v>
      </c>
      <c r="BU84" s="124">
        <f>MAX(0,MIN(ROUND(Supuestos!$F$12*(1+BT$53)*$N84,0),IF(Supuestos!$C$72&gt;0,Supuestos!$C$72-BT83+MIN(BT83,ROUND(BT83*Supuestos!$C$71*Supuestos!$F$13,0)),ROUND(Supuestos!$F$12*(1+BT$53)*$N84,0))))</f>
        <v>49</v>
      </c>
      <c r="BV84" s="124">
        <f t="shared" si="28"/>
        <v>9660.5024807999907</v>
      </c>
      <c r="BW84" s="124">
        <f t="shared" si="29"/>
        <v>1</v>
      </c>
      <c r="BX84" s="124">
        <f>BX83+BY84-MIN(BX83,ROUND(BX83*Supuestos!$C$71*Supuestos!$F$13,0))</f>
        <v>660</v>
      </c>
      <c r="BY84" s="124">
        <f>MAX(0,MIN(ROUND(Supuestos!$F$12*(1+BX$53)*$N84,0),IF(Supuestos!$C$72&gt;0,Supuestos!$C$72-BX83+MIN(BX83,ROUND(BX83*Supuestos!$C$71*Supuestos!$F$13,0)),ROUND(Supuestos!$F$12*(1+BX$53)*$N84,0))))</f>
        <v>49</v>
      </c>
      <c r="BZ84" s="124">
        <f t="shared" si="30"/>
        <v>10918.878639839993</v>
      </c>
      <c r="CA84" s="124">
        <f t="shared" si="31"/>
        <v>1</v>
      </c>
      <c r="CB84" s="124">
        <f>CB83+CC84-MIN(CB83,ROUND(CB83*Supuestos!$C$71*Supuestos!$F$13,0))</f>
        <v>660</v>
      </c>
      <c r="CC84" s="124">
        <f>MAX(0,MIN(ROUND(Supuestos!$F$12*(1+CB$53)*$N84,0),IF(Supuestos!$C$72&gt;0,Supuestos!$C$72-CB83+MIN(CB83,ROUND(CB83*Supuestos!$C$71*Supuestos!$F$13,0)),ROUND(Supuestos!$F$12*(1+CB$53)*$N84,0))))</f>
        <v>49</v>
      </c>
      <c r="CD84" s="124">
        <f t="shared" si="32"/>
        <v>12177.254798879992</v>
      </c>
      <c r="CE84" s="124">
        <f t="shared" si="33"/>
        <v>1</v>
      </c>
      <c r="CF84" s="124">
        <f>CF83+CG84-MIN(CF83,ROUND(CF83*Supuestos!$C$71*Supuestos!$F$13,0))</f>
        <v>727</v>
      </c>
      <c r="CG84" s="124">
        <f>MAX(0,MIN(ROUND(Supuestos!$F$12*(1+CF$53)*$N84,0),IF(Supuestos!$C$72&gt;0,Supuestos!$C$72-CF83+MIN(CF83,ROUND(CF83*Supuestos!$C$71*Supuestos!$F$13,0)),ROUND(Supuestos!$F$12*(1+CF$53)*$N84,0))))</f>
        <v>54</v>
      </c>
      <c r="CH84" s="124">
        <f t="shared" si="34"/>
        <v>9735.8801412839894</v>
      </c>
      <c r="CI84" s="124">
        <f t="shared" si="35"/>
        <v>1</v>
      </c>
      <c r="CJ84" s="124">
        <f>CJ83+CK84-MIN(CJ83,ROUND(CJ83*Supuestos!$C$71*Supuestos!$F$13,0))</f>
        <v>727</v>
      </c>
      <c r="CK84" s="124">
        <f>MAX(0,MIN(ROUND(Supuestos!$F$12*(1+CJ$53)*$N84,0),IF(Supuestos!$C$72&gt;0,Supuestos!$C$72-CJ83+MIN(CJ83,ROUND(CJ83*Supuestos!$C$71*Supuestos!$F$13,0)),ROUND(Supuestos!$F$12*(1+CJ$53)*$N84,0))))</f>
        <v>54</v>
      </c>
      <c r="CL84" s="124">
        <f t="shared" si="36"/>
        <v>11122.000546771989</v>
      </c>
      <c r="CM84" s="124">
        <f t="shared" si="37"/>
        <v>1</v>
      </c>
      <c r="CN84" s="124">
        <f>CN83+CO84-MIN(CN83,ROUND(CN83*Supuestos!$C$71*Supuestos!$F$13,0))</f>
        <v>727</v>
      </c>
      <c r="CO84" s="124">
        <f>MAX(0,MIN(ROUND(Supuestos!$F$12*(1+CN$53)*$N84,0),IF(Supuestos!$C$72&gt;0,Supuestos!$C$72-CN83+MIN(CN83,ROUND(CN83*Supuestos!$C$71*Supuestos!$F$13,0)),ROUND(Supuestos!$F$12*(1+CN$53)*$N84,0))))</f>
        <v>54</v>
      </c>
      <c r="CP84" s="124">
        <f t="shared" si="38"/>
        <v>12508.120952259989</v>
      </c>
      <c r="CQ84" s="124">
        <f t="shared" si="39"/>
        <v>1</v>
      </c>
      <c r="CR84" s="124">
        <f>CR83+CS84-MIN(CR83,ROUND(CR83*Supuestos!$C$71*Supuestos!$F$13,0))</f>
        <v>727</v>
      </c>
      <c r="CS84" s="124">
        <f>MAX(0,MIN(ROUND(Supuestos!$F$12*(1+CR$53)*$N84,0),IF(Supuestos!$C$72&gt;0,Supuestos!$C$72-CR83+MIN(CR83,ROUND(CR83*Supuestos!$C$71*Supuestos!$F$13,0)),ROUND(Supuestos!$F$12*(1+CR$53)*$N84,0))))</f>
        <v>54</v>
      </c>
      <c r="CT84" s="124">
        <f t="shared" si="40"/>
        <v>13894.241357747989</v>
      </c>
      <c r="CU84" s="124">
        <f t="shared" si="41"/>
        <v>1</v>
      </c>
      <c r="CV84" s="124">
        <f>CV83+CW84-MIN(CV83,ROUND(CV83*Supuestos!$C$71*Supuestos!$F$13,0))</f>
        <v>727</v>
      </c>
      <c r="CW84" s="124">
        <f>MAX(0,MIN(ROUND(Supuestos!$F$12*(1+CV$53)*$N84,0),IF(Supuestos!$C$72&gt;0,Supuestos!$C$72-CV83+MIN(CV83,ROUND(CV83*Supuestos!$C$71*Supuestos!$F$13,0)),ROUND(Supuestos!$F$12*(1+CV$53)*$N84,0))))</f>
        <v>54</v>
      </c>
      <c r="CX84" s="124">
        <f t="shared" si="42"/>
        <v>15280.361763235989</v>
      </c>
      <c r="CY84" s="124">
        <f t="shared" si="43"/>
        <v>1</v>
      </c>
      <c r="CZ84" s="124">
        <f>CZ83+DA84-MIN(CZ83,ROUND(CZ83*Supuestos!$C$71*Supuestos!$F$13,0))</f>
        <v>791</v>
      </c>
      <c r="DA84" s="124">
        <f>MAX(0,MIN(ROUND(Supuestos!$F$12*(1+CZ$53)*$N84,0),IF(Supuestos!$C$72&gt;0,Supuestos!$C$72-CZ83+MIN(CZ83,ROUND(CZ83*Supuestos!$C$71*Supuestos!$F$13,0)),ROUND(Supuestos!$F$12*(1+CZ$53)*$N84,0))))</f>
        <v>59</v>
      </c>
      <c r="DB84" s="124">
        <f t="shared" si="44"/>
        <v>12216.592437971991</v>
      </c>
      <c r="DC84" s="124">
        <f t="shared" si="45"/>
        <v>1</v>
      </c>
      <c r="DD84" s="124">
        <f>DD83+DE84-MIN(DD83,ROUND(DD83*Supuestos!$C$71*Supuestos!$F$13,0))</f>
        <v>791</v>
      </c>
      <c r="DE84" s="124">
        <f>MAX(0,MIN(ROUND(Supuestos!$F$12*(1+DD$53)*$N84,0),IF(Supuestos!$C$72&gt;0,Supuestos!$C$72-DD83+MIN(DD83,ROUND(DD83*Supuestos!$C$71*Supuestos!$F$13,0)),ROUND(Supuestos!$F$12*(1+DD$53)*$N84,0))))</f>
        <v>59</v>
      </c>
      <c r="DF84" s="124">
        <f t="shared" si="46"/>
        <v>13724.737198275987</v>
      </c>
      <c r="DG84" s="124">
        <f t="shared" si="47"/>
        <v>1</v>
      </c>
      <c r="DH84" s="124">
        <f>DH83+DI84-MIN(DH83,ROUND(DH83*Supuestos!$C$71*Supuestos!$F$13,0))</f>
        <v>791</v>
      </c>
      <c r="DI84" s="124">
        <f>MAX(0,MIN(ROUND(Supuestos!$F$12*(1+DH$53)*$N84,0),IF(Supuestos!$C$72&gt;0,Supuestos!$C$72-DH83+MIN(DH83,ROUND(DH83*Supuestos!$C$71*Supuestos!$F$13,0)),ROUND(Supuestos!$F$12*(1+DH$53)*$N84,0))))</f>
        <v>59</v>
      </c>
      <c r="DJ84" s="124">
        <f t="shared" si="48"/>
        <v>15232.881958579987</v>
      </c>
      <c r="DK84" s="124">
        <f t="shared" si="49"/>
        <v>1</v>
      </c>
      <c r="DL84" s="124">
        <f>DL83+DM84-MIN(DL83,ROUND(DL83*Supuestos!$C$71*Supuestos!$F$13,0))</f>
        <v>791</v>
      </c>
      <c r="DM84" s="124">
        <f>MAX(0,MIN(ROUND(Supuestos!$F$12*(1+DL$53)*$N84,0),IF(Supuestos!$C$72&gt;0,Supuestos!$C$72-DL83+MIN(DL83,ROUND(DL83*Supuestos!$C$71*Supuestos!$F$13,0)),ROUND(Supuestos!$F$12*(1+DL$53)*$N84,0))))</f>
        <v>59</v>
      </c>
      <c r="DN84" s="124">
        <f t="shared" si="50"/>
        <v>16741.026718883993</v>
      </c>
      <c r="DO84" s="124">
        <f t="shared" si="51"/>
        <v>1</v>
      </c>
      <c r="DP84" s="124">
        <f>DP83+DQ84-MIN(DP83,ROUND(DP83*Supuestos!$C$71*Supuestos!$F$13,0))</f>
        <v>791</v>
      </c>
      <c r="DQ84" s="124">
        <f>MAX(0,MIN(ROUND(Supuestos!$F$12*(1+DP$53)*$N84,0),IF(Supuestos!$C$72&gt;0,Supuestos!$C$72-DP83+MIN(DP83,ROUND(DP83*Supuestos!$C$71*Supuestos!$F$13,0)),ROUND(Supuestos!$F$12*(1+DP$53)*$N84,0))))</f>
        <v>59</v>
      </c>
      <c r="DR84" s="124">
        <f t="shared" si="52"/>
        <v>18249.171479187993</v>
      </c>
      <c r="DS84" s="124">
        <f t="shared" si="53"/>
        <v>1</v>
      </c>
    </row>
    <row r="85" spans="2:123" ht="13.5" customHeight="1" x14ac:dyDescent="0.2">
      <c r="B85" s="7" t="str">
        <f>"Mes 30  ·  "&amp;CHOOSE(MONTH(DATE(YEAR(Supuestos!$C$8),MONTH(Supuestos!$C$8)+(30)-1,1)),"ene","feb","mar","abr","may","jun","jul","ago","sep","oct","nov","dic")&amp;" "&amp;YEAR(DATE(YEAR(Supuestos!$C$8),MONTH(Supuestos!$C$8)+(30)-1,1))</f>
        <v>Mes 30  ·  feb 2030</v>
      </c>
      <c r="C85" s="74">
        <f>'Previsión 36 meses'!$H$90</f>
        <v>667</v>
      </c>
      <c r="D85" s="72">
        <f t="shared" si="55"/>
        <v>449</v>
      </c>
      <c r="E85" s="59">
        <f>'Previsión 36 meses'!$H$95</f>
        <v>30291.002232499992</v>
      </c>
      <c r="F85" s="59">
        <f>'Previsión 36 meses'!$H$107+'Previsión 36 meses'!$H$111</f>
        <v>20675.997933040006</v>
      </c>
      <c r="G85" s="59">
        <f>'Previsión 36 meses'!$H$112</f>
        <v>9615.004299459988</v>
      </c>
      <c r="H85" s="59">
        <f>'Previsión 36 meses'!$H$118</f>
        <v>7287.8705253557582</v>
      </c>
      <c r="I85" s="76">
        <f>'Previsión 36 meses'!$H$119</f>
        <v>85689.550273698347</v>
      </c>
      <c r="J85" s="59">
        <f t="shared" si="3"/>
        <v>92240.760852199877</v>
      </c>
      <c r="M85" s="119">
        <v>30</v>
      </c>
      <c r="N85" s="123">
        <f>IF($M85&lt;=12,INDEX(Supuestos!$C$55:$C$66,$M85)+IF($M85=1,Supuestos!$C$52,0),IF($M85&lt;=24,Supuestos!$C$69,Supuestos!$C$70)*IFERROR(INDEX(Supuestos!$C$55:$C$66,MOD($M85-1,12)+1)/AVERAGE(Supuestos!$C$55:$C$66),1))</f>
        <v>32.801822323462417</v>
      </c>
      <c r="O85" s="123">
        <f>Supuestos!$C$45*Supuestos!$F$14*(1+Supuestos!$C$112)^INT(($M85-1)/12)*(1-Supuestos!$C$98)</f>
        <v>38.132610879999994</v>
      </c>
      <c r="P85" s="123">
        <f>(Supuestos!$C$48+Supuestos!$C$49)*(1+Supuestos!$C$112)^INT(($M85-1)/12)*(1-Supuestos!$C$98-Supuestos!$C$99)</f>
        <v>2.8198775</v>
      </c>
      <c r="Q85" s="123">
        <f>Supuestos!$C$47*(1+Supuestos!$C$112)^INT(($M85-1)/12)*(1-Supuestos!$C$98)</f>
        <v>20.760349999999999</v>
      </c>
      <c r="R85" s="120">
        <f>'Previsión 36 meses'!$H$107</f>
        <v>18385.397000000004</v>
      </c>
      <c r="S85" s="120">
        <f t="shared" si="0"/>
        <v>85689.550273698347</v>
      </c>
      <c r="T85" s="120">
        <f t="shared" si="1"/>
        <v>0</v>
      </c>
      <c r="U85" s="22" t="str">
        <f>CHOOSE(MONTH(DATE(YEAR(Supuestos!$C$8),MONTH(Supuestos!$C$8)+(30)-1,1)),"ene","feb","mar","abr","may","jun","jul","ago","sep","oct","nov","dic")&amp;" "&amp;RIGHT(YEAR(DATE(YEAR(Supuestos!$C$8),MONTH(Supuestos!$C$8)+(30)-1,1)),2)</f>
        <v>feb 30</v>
      </c>
      <c r="V85" s="121">
        <f>IF(AND(Supuestos!$C$33&gt;0,J85&gt;=Supuestos!$C$33),1,0)</f>
        <v>0</v>
      </c>
      <c r="X85" s="124">
        <f>X84+Y85-MIN(X84,ROUND(X84*Supuestos!$C$71*Supuestos!$F$13,0))</f>
        <v>532</v>
      </c>
      <c r="Y85" s="124">
        <f>MAX(0,MIN(ROUND(Supuestos!$F$12*(1+X$53)*$N85,0),IF(Supuestos!$C$72&gt;0,Supuestos!$C$72-X84+MIN(X84,ROUND(X84*Supuestos!$C$71*Supuestos!$F$13,0)),ROUND(Supuestos!$F$12*(1+X$53)*$N85,0))))</f>
        <v>26</v>
      </c>
      <c r="Z85" s="124">
        <f t="shared" si="4"/>
        <v>1912.4410193439944</v>
      </c>
      <c r="AA85" s="124">
        <f t="shared" si="5"/>
        <v>1</v>
      </c>
      <c r="AB85" s="124">
        <f>AB84+AC85-MIN(AB84,ROUND(AB84*Supuestos!$C$71*Supuestos!$F$13,0))</f>
        <v>532</v>
      </c>
      <c r="AC85" s="124">
        <f>MAX(0,MIN(ROUND(Supuestos!$F$12*(1+AB$53)*$N85,0),IF(Supuestos!$C$72&gt;0,Supuestos!$C$72-AB84+MIN(AB84,ROUND(AB84*Supuestos!$C$71*Supuestos!$F$13,0)),ROUND(Supuestos!$F$12*(1+AB$53)*$N85,0))))</f>
        <v>26</v>
      </c>
      <c r="AD85" s="124">
        <f t="shared" si="6"/>
        <v>2926.7684687519904</v>
      </c>
      <c r="AE85" s="124">
        <f t="shared" si="7"/>
        <v>1</v>
      </c>
      <c r="AF85" s="124">
        <f>AF84+AG85-MIN(AF84,ROUND(AF84*Supuestos!$C$71*Supuestos!$F$13,0))</f>
        <v>532</v>
      </c>
      <c r="AG85" s="124">
        <f>MAX(0,MIN(ROUND(Supuestos!$F$12*(1+AF$53)*$N85,0),IF(Supuestos!$C$72&gt;0,Supuestos!$C$72-AF84+MIN(AF84,ROUND(AF84*Supuestos!$C$71*Supuestos!$F$13,0)),ROUND(Supuestos!$F$12*(1+AF$53)*$N85,0))))</f>
        <v>26</v>
      </c>
      <c r="AH85" s="124">
        <f t="shared" si="8"/>
        <v>3941.0959181599937</v>
      </c>
      <c r="AI85" s="124">
        <f t="shared" si="9"/>
        <v>1</v>
      </c>
      <c r="AJ85" s="124">
        <f>AJ84+AK85-MIN(AJ84,ROUND(AJ84*Supuestos!$C$71*Supuestos!$F$13,0))</f>
        <v>532</v>
      </c>
      <c r="AK85" s="124">
        <f>MAX(0,MIN(ROUND(Supuestos!$F$12*(1+AJ$53)*$N85,0),IF(Supuestos!$C$72&gt;0,Supuestos!$C$72-AJ84+MIN(AJ84,ROUND(AJ84*Supuestos!$C$71*Supuestos!$F$13,0)),ROUND(Supuestos!$F$12*(1+AJ$53)*$N85,0))))</f>
        <v>26</v>
      </c>
      <c r="AL85" s="124">
        <f t="shared" si="10"/>
        <v>4955.4233675679934</v>
      </c>
      <c r="AM85" s="124">
        <f t="shared" si="11"/>
        <v>1</v>
      </c>
      <c r="AN85" s="124">
        <f>AN84+AO85-MIN(AN84,ROUND(AN84*Supuestos!$C$71*Supuestos!$F$13,0))</f>
        <v>532</v>
      </c>
      <c r="AO85" s="124">
        <f>MAX(0,MIN(ROUND(Supuestos!$F$12*(1+AN$53)*$N85,0),IF(Supuestos!$C$72&gt;0,Supuestos!$C$72-AN84+MIN(AN84,ROUND(AN84*Supuestos!$C$71*Supuestos!$F$13,0)),ROUND(Supuestos!$F$12*(1+AN$53)*$N85,0))))</f>
        <v>26</v>
      </c>
      <c r="AP85" s="124">
        <f t="shared" si="12"/>
        <v>5969.7508169759931</v>
      </c>
      <c r="AQ85" s="124">
        <f t="shared" si="13"/>
        <v>1</v>
      </c>
      <c r="AR85" s="124">
        <f>AR84+AS85-MIN(AR84,ROUND(AR84*Supuestos!$C$71*Supuestos!$F$13,0))</f>
        <v>599</v>
      </c>
      <c r="AS85" s="124">
        <f>MAX(0,MIN(ROUND(Supuestos!$F$12*(1+AR$53)*$N85,0),IF(Supuestos!$C$72&gt;0,Supuestos!$C$72-AR84+MIN(AR84,ROUND(AR84*Supuestos!$C$71*Supuestos!$F$13,0)),ROUND(Supuestos!$F$12*(1+AR$53)*$N85,0))))</f>
        <v>30</v>
      </c>
      <c r="AT85" s="124">
        <f t="shared" si="14"/>
        <v>4483.8106479079906</v>
      </c>
      <c r="AU85" s="124">
        <f t="shared" si="15"/>
        <v>1</v>
      </c>
      <c r="AV85" s="124">
        <f>AV84+AW85-MIN(AV84,ROUND(AV84*Supuestos!$C$71*Supuestos!$F$13,0))</f>
        <v>599</v>
      </c>
      <c r="AW85" s="124">
        <f>MAX(0,MIN(ROUND(Supuestos!$F$12*(1+AV$53)*$N85,0),IF(Supuestos!$C$72&gt;0,Supuestos!$C$72-AV84+MIN(AV84,ROUND(AV84*Supuestos!$C$71*Supuestos!$F$13,0)),ROUND(Supuestos!$F$12*(1+AV$53)*$N85,0))))</f>
        <v>30</v>
      </c>
      <c r="AX85" s="124">
        <f t="shared" si="16"/>
        <v>5625.8823437639876</v>
      </c>
      <c r="AY85" s="124">
        <f t="shared" si="17"/>
        <v>1</v>
      </c>
      <c r="AZ85" s="124">
        <f>AZ84+BA85-MIN(AZ84,ROUND(AZ84*Supuestos!$C$71*Supuestos!$F$13,0))</f>
        <v>599</v>
      </c>
      <c r="BA85" s="124">
        <f>MAX(0,MIN(ROUND(Supuestos!$F$12*(1+AZ$53)*$N85,0),IF(Supuestos!$C$72&gt;0,Supuestos!$C$72-AZ84+MIN(AZ84,ROUND(AZ84*Supuestos!$C$71*Supuestos!$F$13,0)),ROUND(Supuestos!$F$12*(1+AZ$53)*$N85,0))))</f>
        <v>30</v>
      </c>
      <c r="BB85" s="124">
        <f t="shared" si="18"/>
        <v>6767.9540396199882</v>
      </c>
      <c r="BC85" s="124">
        <f t="shared" si="19"/>
        <v>1</v>
      </c>
      <c r="BD85" s="124">
        <f>BD84+BE85-MIN(BD84,ROUND(BD84*Supuestos!$C$71*Supuestos!$F$13,0))</f>
        <v>599</v>
      </c>
      <c r="BE85" s="124">
        <f>MAX(0,MIN(ROUND(Supuestos!$F$12*(1+BD$53)*$N85,0),IF(Supuestos!$C$72&gt;0,Supuestos!$C$72-BD84+MIN(BD84,ROUND(BD84*Supuestos!$C$71*Supuestos!$F$13,0)),ROUND(Supuestos!$F$12*(1+BD$53)*$N85,0))))</f>
        <v>30</v>
      </c>
      <c r="BF85" s="124">
        <f t="shared" si="20"/>
        <v>7910.0257354759924</v>
      </c>
      <c r="BG85" s="124">
        <f t="shared" si="21"/>
        <v>1</v>
      </c>
      <c r="BH85" s="124">
        <f>BH84+BI85-MIN(BH84,ROUND(BH84*Supuestos!$C$71*Supuestos!$F$13,0))</f>
        <v>599</v>
      </c>
      <c r="BI85" s="124">
        <f>MAX(0,MIN(ROUND(Supuestos!$F$12*(1+BH$53)*$N85,0),IF(Supuestos!$C$72&gt;0,Supuestos!$C$72-BH84+MIN(BH84,ROUND(BH84*Supuestos!$C$71*Supuestos!$F$13,0)),ROUND(Supuestos!$F$12*(1+BH$53)*$N85,0))))</f>
        <v>30</v>
      </c>
      <c r="BJ85" s="124">
        <f t="shared" si="22"/>
        <v>9052.097431331993</v>
      </c>
      <c r="BK85" s="124">
        <f t="shared" si="23"/>
        <v>1</v>
      </c>
      <c r="BL85" s="124">
        <f>BL84+BM85-MIN(BL84,ROUND(BL84*Supuestos!$C$71*Supuestos!$F$13,0))</f>
        <v>667</v>
      </c>
      <c r="BM85" s="124">
        <f>MAX(0,MIN(ROUND(Supuestos!$F$12*(1+BL$53)*$N85,0),IF(Supuestos!$C$72&gt;0,Supuestos!$C$72-BL84+MIN(BL84,ROUND(BL84*Supuestos!$C$71*Supuestos!$F$13,0)),ROUND(Supuestos!$F$12*(1+BL$53)*$N85,0))))</f>
        <v>33</v>
      </c>
      <c r="BN85" s="124">
        <f t="shared" si="24"/>
        <v>7071.5591537639921</v>
      </c>
      <c r="BO85" s="124">
        <f t="shared" si="25"/>
        <v>1</v>
      </c>
      <c r="BP85" s="124">
        <f>BP84+BQ85-MIN(BP84,ROUND(BP84*Supuestos!$C$71*Supuestos!$F$13,0))</f>
        <v>667</v>
      </c>
      <c r="BQ85" s="124">
        <f>MAX(0,MIN(ROUND(Supuestos!$F$12*(1+BP$53)*$N85,0),IF(Supuestos!$C$72&gt;0,Supuestos!$C$72-BP84+MIN(BP84,ROUND(BP84*Supuestos!$C$71*Supuestos!$F$13,0)),ROUND(Supuestos!$F$12*(1+BP$53)*$N85,0))))</f>
        <v>33</v>
      </c>
      <c r="BR85" s="124">
        <f t="shared" si="26"/>
        <v>8343.2817266119891</v>
      </c>
      <c r="BS85" s="124">
        <f t="shared" si="27"/>
        <v>1</v>
      </c>
      <c r="BT85" s="124">
        <f>BT84+BU85-MIN(BT84,ROUND(BT84*Supuestos!$C$71*Supuestos!$F$13,0))</f>
        <v>667</v>
      </c>
      <c r="BU85" s="124">
        <f>MAX(0,MIN(ROUND(Supuestos!$F$12*(1+BT$53)*$N85,0),IF(Supuestos!$C$72&gt;0,Supuestos!$C$72-BT84+MIN(BT84,ROUND(BT84*Supuestos!$C$71*Supuestos!$F$13,0)),ROUND(Supuestos!$F$12*(1+BT$53)*$N85,0))))</f>
        <v>33</v>
      </c>
      <c r="BV85" s="124">
        <f t="shared" si="28"/>
        <v>9615.0042994599899</v>
      </c>
      <c r="BW85" s="124">
        <f t="shared" si="29"/>
        <v>1</v>
      </c>
      <c r="BX85" s="124">
        <f>BX84+BY85-MIN(BX84,ROUND(BX84*Supuestos!$C$71*Supuestos!$F$13,0))</f>
        <v>667</v>
      </c>
      <c r="BY85" s="124">
        <f>MAX(0,MIN(ROUND(Supuestos!$F$12*(1+BX$53)*$N85,0),IF(Supuestos!$C$72&gt;0,Supuestos!$C$72-BX84+MIN(BX84,ROUND(BX84*Supuestos!$C$71*Supuestos!$F$13,0)),ROUND(Supuestos!$F$12*(1+BX$53)*$N85,0))))</f>
        <v>33</v>
      </c>
      <c r="BZ85" s="124">
        <f t="shared" si="30"/>
        <v>10886.726872307991</v>
      </c>
      <c r="CA85" s="124">
        <f t="shared" si="31"/>
        <v>1</v>
      </c>
      <c r="CB85" s="124">
        <f>CB84+CC85-MIN(CB84,ROUND(CB84*Supuestos!$C$71*Supuestos!$F$13,0))</f>
        <v>667</v>
      </c>
      <c r="CC85" s="124">
        <f>MAX(0,MIN(ROUND(Supuestos!$F$12*(1+CB$53)*$N85,0),IF(Supuestos!$C$72&gt;0,Supuestos!$C$72-CB84+MIN(CB84,ROUND(CB84*Supuestos!$C$71*Supuestos!$F$13,0)),ROUND(Supuestos!$F$12*(1+CB$53)*$N85,0))))</f>
        <v>33</v>
      </c>
      <c r="CD85" s="124">
        <f t="shared" si="32"/>
        <v>12158.449445155995</v>
      </c>
      <c r="CE85" s="124">
        <f t="shared" si="33"/>
        <v>1</v>
      </c>
      <c r="CF85" s="124">
        <f>CF84+CG85-MIN(CF84,ROUND(CF84*Supuestos!$C$71*Supuestos!$F$13,0))</f>
        <v>734</v>
      </c>
      <c r="CG85" s="124">
        <f>MAX(0,MIN(ROUND(Supuestos!$F$12*(1+CF$53)*$N85,0),IF(Supuestos!$C$72&gt;0,Supuestos!$C$72-CF84+MIN(CF84,ROUND(CF84*Supuestos!$C$71*Supuestos!$F$13,0)),ROUND(Supuestos!$F$12*(1+CF$53)*$N85,0))))</f>
        <v>36</v>
      </c>
      <c r="CH85" s="124">
        <f t="shared" si="34"/>
        <v>9622.1684323279915</v>
      </c>
      <c r="CI85" s="124">
        <f t="shared" si="35"/>
        <v>1</v>
      </c>
      <c r="CJ85" s="124">
        <f>CJ84+CK85-MIN(CJ84,ROUND(CJ84*Supuestos!$C$71*Supuestos!$F$13,0))</f>
        <v>734</v>
      </c>
      <c r="CK85" s="124">
        <f>MAX(0,MIN(ROUND(Supuestos!$F$12*(1+CJ$53)*$N85,0),IF(Supuestos!$C$72&gt;0,Supuestos!$C$72-CJ84+MIN(CJ84,ROUND(CJ84*Supuestos!$C$71*Supuestos!$F$13,0)),ROUND(Supuestos!$F$12*(1+CJ$53)*$N85,0))))</f>
        <v>36</v>
      </c>
      <c r="CL85" s="124">
        <f t="shared" si="36"/>
        <v>11021.635251623986</v>
      </c>
      <c r="CM85" s="124">
        <f t="shared" si="37"/>
        <v>1</v>
      </c>
      <c r="CN85" s="124">
        <f>CN84+CO85-MIN(CN84,ROUND(CN84*Supuestos!$C$71*Supuestos!$F$13,0))</f>
        <v>734</v>
      </c>
      <c r="CO85" s="124">
        <f>MAX(0,MIN(ROUND(Supuestos!$F$12*(1+CN$53)*$N85,0),IF(Supuestos!$C$72&gt;0,Supuestos!$C$72-CN84+MIN(CN84,ROUND(CN84*Supuestos!$C$71*Supuestos!$F$13,0)),ROUND(Supuestos!$F$12*(1+CN$53)*$N85,0))))</f>
        <v>36</v>
      </c>
      <c r="CP85" s="124">
        <f t="shared" si="38"/>
        <v>12421.102070919987</v>
      </c>
      <c r="CQ85" s="124">
        <f t="shared" si="39"/>
        <v>1</v>
      </c>
      <c r="CR85" s="124">
        <f>CR84+CS85-MIN(CR84,ROUND(CR84*Supuestos!$C$71*Supuestos!$F$13,0))</f>
        <v>734</v>
      </c>
      <c r="CS85" s="124">
        <f>MAX(0,MIN(ROUND(Supuestos!$F$12*(1+CR$53)*$N85,0),IF(Supuestos!$C$72&gt;0,Supuestos!$C$72-CR84+MIN(CR84,ROUND(CR84*Supuestos!$C$71*Supuestos!$F$13,0)),ROUND(Supuestos!$F$12*(1+CR$53)*$N85,0))))</f>
        <v>36</v>
      </c>
      <c r="CT85" s="124">
        <f t="shared" si="40"/>
        <v>13820.568890215989</v>
      </c>
      <c r="CU85" s="124">
        <f t="shared" si="41"/>
        <v>1</v>
      </c>
      <c r="CV85" s="124">
        <f>CV84+CW85-MIN(CV84,ROUND(CV84*Supuestos!$C$71*Supuestos!$F$13,0))</f>
        <v>734</v>
      </c>
      <c r="CW85" s="124">
        <f>MAX(0,MIN(ROUND(Supuestos!$F$12*(1+CV$53)*$N85,0),IF(Supuestos!$C$72&gt;0,Supuestos!$C$72-CV84+MIN(CV84,ROUND(CV84*Supuestos!$C$71*Supuestos!$F$13,0)),ROUND(Supuestos!$F$12*(1+CV$53)*$N85,0))))</f>
        <v>36</v>
      </c>
      <c r="CX85" s="124">
        <f t="shared" si="42"/>
        <v>15220.035709511998</v>
      </c>
      <c r="CY85" s="124">
        <f t="shared" si="43"/>
        <v>1</v>
      </c>
      <c r="CZ85" s="124">
        <f>CZ84+DA85-MIN(CZ84,ROUND(CZ84*Supuestos!$C$71*Supuestos!$F$13,0))</f>
        <v>798</v>
      </c>
      <c r="DA85" s="124">
        <f>MAX(0,MIN(ROUND(Supuestos!$F$12*(1+CZ$53)*$N85,0),IF(Supuestos!$C$72&gt;0,Supuestos!$C$72-CZ84+MIN(CZ84,ROUND(CZ84*Supuestos!$C$71*Supuestos!$F$13,0)),ROUND(Supuestos!$F$12*(1+CZ$53)*$N85,0))))</f>
        <v>39</v>
      </c>
      <c r="DB85" s="124">
        <f t="shared" si="44"/>
        <v>12061.360029015992</v>
      </c>
      <c r="DC85" s="124">
        <f t="shared" si="45"/>
        <v>1</v>
      </c>
      <c r="DD85" s="124">
        <f>DD84+DE85-MIN(DD84,ROUND(DD84*Supuestos!$C$71*Supuestos!$F$13,0))</f>
        <v>798</v>
      </c>
      <c r="DE85" s="124">
        <f>MAX(0,MIN(ROUND(Supuestos!$F$12*(1+DD$53)*$N85,0),IF(Supuestos!$C$72&gt;0,Supuestos!$C$72-DD84+MIN(DD84,ROUND(DD84*Supuestos!$C$71*Supuestos!$F$13,0)),ROUND(Supuestos!$F$12*(1+DD$53)*$N85,0))))</f>
        <v>39</v>
      </c>
      <c r="DF85" s="124">
        <f t="shared" si="46"/>
        <v>13582.851203127986</v>
      </c>
      <c r="DG85" s="124">
        <f t="shared" si="47"/>
        <v>1</v>
      </c>
      <c r="DH85" s="124">
        <f>DH84+DI85-MIN(DH84,ROUND(DH84*Supuestos!$C$71*Supuestos!$F$13,0))</f>
        <v>798</v>
      </c>
      <c r="DI85" s="124">
        <f>MAX(0,MIN(ROUND(Supuestos!$F$12*(1+DH$53)*$N85,0),IF(Supuestos!$C$72&gt;0,Supuestos!$C$72-DH84+MIN(DH84,ROUND(DH84*Supuestos!$C$71*Supuestos!$F$13,0)),ROUND(Supuestos!$F$12*(1+DH$53)*$N85,0))))</f>
        <v>39</v>
      </c>
      <c r="DJ85" s="124">
        <f t="shared" si="48"/>
        <v>15104.342377239984</v>
      </c>
      <c r="DK85" s="124">
        <f t="shared" si="49"/>
        <v>1</v>
      </c>
      <c r="DL85" s="124">
        <f>DL84+DM85-MIN(DL84,ROUND(DL84*Supuestos!$C$71*Supuestos!$F$13,0))</f>
        <v>798</v>
      </c>
      <c r="DM85" s="124">
        <f>MAX(0,MIN(ROUND(Supuestos!$F$12*(1+DL$53)*$N85,0),IF(Supuestos!$C$72&gt;0,Supuestos!$C$72-DL84+MIN(DL84,ROUND(DL84*Supuestos!$C$71*Supuestos!$F$13,0)),ROUND(Supuestos!$F$12*(1+DL$53)*$N85,0))))</f>
        <v>39</v>
      </c>
      <c r="DN85" s="124">
        <f t="shared" si="50"/>
        <v>16625.833551351992</v>
      </c>
      <c r="DO85" s="124">
        <f t="shared" si="51"/>
        <v>1</v>
      </c>
      <c r="DP85" s="124">
        <f>DP84+DQ85-MIN(DP84,ROUND(DP84*Supuestos!$C$71*Supuestos!$F$13,0))</f>
        <v>798</v>
      </c>
      <c r="DQ85" s="124">
        <f>MAX(0,MIN(ROUND(Supuestos!$F$12*(1+DP$53)*$N85,0),IF(Supuestos!$C$72&gt;0,Supuestos!$C$72-DP84+MIN(DP84,ROUND(DP84*Supuestos!$C$71*Supuestos!$F$13,0)),ROUND(Supuestos!$F$12*(1+DP$53)*$N85,0))))</f>
        <v>39</v>
      </c>
      <c r="DR85" s="124">
        <f t="shared" si="52"/>
        <v>18147.324725463994</v>
      </c>
      <c r="DS85" s="124">
        <f t="shared" si="53"/>
        <v>1</v>
      </c>
    </row>
    <row r="86" spans="2:123" ht="13.5" customHeight="1" x14ac:dyDescent="0.2">
      <c r="B86" s="7" t="str">
        <f>"Mes 31  ·  "&amp;CHOOSE(MONTH(DATE(YEAR(Supuestos!$C$8),MONTH(Supuestos!$C$8)+(31)-1,1)),"ene","feb","mar","abr","may","jun","jul","ago","sep","oct","nov","dic")&amp;" "&amp;YEAR(DATE(YEAR(Supuestos!$C$8),MONTH(Supuestos!$C$8)+(31)-1,1))</f>
        <v>Mes 31  ·  mar 2030</v>
      </c>
      <c r="C86" s="74">
        <f>'Previsión 36 meses'!$I$90</f>
        <v>669</v>
      </c>
      <c r="D86" s="72">
        <f t="shared" si="55"/>
        <v>449</v>
      </c>
      <c r="E86" s="59">
        <f>'Previsión 36 meses'!$I$95</f>
        <v>30295.700627499995</v>
      </c>
      <c r="F86" s="59">
        <f>'Previsión 36 meses'!$I$107+'Previsión 36 meses'!$I$111</f>
        <v>20681.832751280002</v>
      </c>
      <c r="G86" s="59">
        <f>'Previsión 36 meses'!$I$112</f>
        <v>9613.8678762199906</v>
      </c>
      <c r="H86" s="59">
        <f>'Previsión 36 meses'!$I$118</f>
        <v>7286.7341021157608</v>
      </c>
      <c r="I86" s="76">
        <f>'Previsión 36 meses'!$I$119</f>
        <v>92976.28437581411</v>
      </c>
      <c r="J86" s="59">
        <f t="shared" si="3"/>
        <v>101854.62872841986</v>
      </c>
      <c r="M86" s="119">
        <v>31</v>
      </c>
      <c r="N86" s="123">
        <f>IF($M86&lt;=12,INDEX(Supuestos!$C$55:$C$66,$M86)+IF($M86=1,Supuestos!$C$52,0),IF($M86&lt;=24,Supuestos!$C$69,Supuestos!$C$70)*IFERROR(INDEX(Supuestos!$C$55:$C$66,MOD($M86-1,12)+1)/AVERAGE(Supuestos!$C$55:$C$66),1))</f>
        <v>28.70159453302961</v>
      </c>
      <c r="O86" s="123">
        <f>Supuestos!$C$45*Supuestos!$F$14*(1+Supuestos!$C$112)^INT(($M86-1)/12)*(1-Supuestos!$C$98)</f>
        <v>38.132610879999994</v>
      </c>
      <c r="P86" s="123">
        <f>(Supuestos!$C$48+Supuestos!$C$49)*(1+Supuestos!$C$112)^INT(($M86-1)/12)*(1-Supuestos!$C$98-Supuestos!$C$99)</f>
        <v>2.8198775</v>
      </c>
      <c r="Q86" s="123">
        <f>Supuestos!$C$47*(1+Supuestos!$C$112)^INT(($M86-1)/12)*(1-Supuestos!$C$98)</f>
        <v>20.760349999999999</v>
      </c>
      <c r="R86" s="120">
        <f>'Previsión 36 meses'!$I$107</f>
        <v>18385.397000000004</v>
      </c>
      <c r="S86" s="120">
        <f t="shared" si="0"/>
        <v>92976.28437581411</v>
      </c>
      <c r="T86" s="120">
        <f t="shared" si="1"/>
        <v>0</v>
      </c>
      <c r="U86" s="22" t="str">
        <f>CHOOSE(MONTH(DATE(YEAR(Supuestos!$C$8),MONTH(Supuestos!$C$8)+(31)-1,1)),"ene","feb","mar","abr","may","jun","jul","ago","sep","oct","nov","dic")&amp;" "&amp;RIGHT(YEAR(DATE(YEAR(Supuestos!$C$8),MONTH(Supuestos!$C$8)+(31)-1,1)),2)</f>
        <v>mar 30</v>
      </c>
      <c r="V86" s="121">
        <f>IF(AND(Supuestos!$C$33&gt;0,J86&gt;=Supuestos!$C$33),1,0)</f>
        <v>0</v>
      </c>
      <c r="X86" s="124">
        <f>X85+Y86-MIN(X85,ROUND(X85*Supuestos!$C$71*Supuestos!$F$13,0))</f>
        <v>534</v>
      </c>
      <c r="Y86" s="124">
        <f>MAX(0,MIN(ROUND(Supuestos!$F$12*(1+X$53)*$N86,0),IF(Supuestos!$C$72&gt;0,Supuestos!$C$72-X85+MIN(X85,ROUND(X85*Supuestos!$C$71*Supuestos!$F$13,0)),ROUND(Supuestos!$F$12*(1+X$53)*$N86,0))))</f>
        <v>23</v>
      </c>
      <c r="Z86" s="124">
        <f t="shared" si="4"/>
        <v>1924.4384239279934</v>
      </c>
      <c r="AA86" s="124">
        <f t="shared" si="5"/>
        <v>1</v>
      </c>
      <c r="AB86" s="124">
        <f>AB85+AC86-MIN(AB85,ROUND(AB85*Supuestos!$C$71*Supuestos!$F$13,0))</f>
        <v>534</v>
      </c>
      <c r="AC86" s="124">
        <f>MAX(0,MIN(ROUND(Supuestos!$F$12*(1+AB$53)*$N86,0),IF(Supuestos!$C$72&gt;0,Supuestos!$C$72-AB85+MIN(AB85,ROUND(AB85*Supuestos!$C$71*Supuestos!$F$13,0)),ROUND(Supuestos!$F$12*(1+AB$53)*$N86,0))))</f>
        <v>23</v>
      </c>
      <c r="AD86" s="124">
        <f t="shared" si="6"/>
        <v>2942.5791344239879</v>
      </c>
      <c r="AE86" s="124">
        <f t="shared" si="7"/>
        <v>1</v>
      </c>
      <c r="AF86" s="124">
        <f>AF85+AG86-MIN(AF85,ROUND(AF85*Supuestos!$C$71*Supuestos!$F$13,0))</f>
        <v>534</v>
      </c>
      <c r="AG86" s="124">
        <f>MAX(0,MIN(ROUND(Supuestos!$F$12*(1+AF$53)*$N86,0),IF(Supuestos!$C$72&gt;0,Supuestos!$C$72-AF85+MIN(AF85,ROUND(AF85*Supuestos!$C$71*Supuestos!$F$13,0)),ROUND(Supuestos!$F$12*(1+AF$53)*$N86,0))))</f>
        <v>23</v>
      </c>
      <c r="AH86" s="124">
        <f t="shared" si="8"/>
        <v>3960.7198449199896</v>
      </c>
      <c r="AI86" s="124">
        <f t="shared" si="9"/>
        <v>1</v>
      </c>
      <c r="AJ86" s="124">
        <f>AJ85+AK86-MIN(AJ85,ROUND(AJ85*Supuestos!$C$71*Supuestos!$F$13,0))</f>
        <v>534</v>
      </c>
      <c r="AK86" s="124">
        <f>MAX(0,MIN(ROUND(Supuestos!$F$12*(1+AJ$53)*$N86,0),IF(Supuestos!$C$72&gt;0,Supuestos!$C$72-AJ85+MIN(AJ85,ROUND(AJ85*Supuestos!$C$71*Supuestos!$F$13,0)),ROUND(Supuestos!$F$12*(1+AJ$53)*$N86,0))))</f>
        <v>23</v>
      </c>
      <c r="AL86" s="124">
        <f t="shared" si="10"/>
        <v>4978.8605554159913</v>
      </c>
      <c r="AM86" s="124">
        <f t="shared" si="11"/>
        <v>1</v>
      </c>
      <c r="AN86" s="124">
        <f>AN85+AO86-MIN(AN85,ROUND(AN85*Supuestos!$C$71*Supuestos!$F$13,0))</f>
        <v>534</v>
      </c>
      <c r="AO86" s="124">
        <f>MAX(0,MIN(ROUND(Supuestos!$F$12*(1+AN$53)*$N86,0),IF(Supuestos!$C$72&gt;0,Supuestos!$C$72-AN85+MIN(AN85,ROUND(AN85*Supuestos!$C$71*Supuestos!$F$13,0)),ROUND(Supuestos!$F$12*(1+AN$53)*$N86,0))))</f>
        <v>23</v>
      </c>
      <c r="AP86" s="124">
        <f t="shared" si="12"/>
        <v>5997.001265911993</v>
      </c>
      <c r="AQ86" s="124">
        <f t="shared" si="13"/>
        <v>1</v>
      </c>
      <c r="AR86" s="124">
        <f>AR85+AS86-MIN(AR85,ROUND(AR85*Supuestos!$C$71*Supuestos!$F$13,0))</f>
        <v>601</v>
      </c>
      <c r="AS86" s="124">
        <f>MAX(0,MIN(ROUND(Supuestos!$F$12*(1+AR$53)*$N86,0),IF(Supuestos!$C$72&gt;0,Supuestos!$C$72-AR85+MIN(AR85,ROUND(AR85*Supuestos!$C$71*Supuestos!$F$13,0)),ROUND(Supuestos!$F$12*(1+AR$53)*$N86,0))))</f>
        <v>26</v>
      </c>
      <c r="AT86" s="124">
        <f t="shared" si="14"/>
        <v>4475.0477024919928</v>
      </c>
      <c r="AU86" s="124">
        <f t="shared" si="15"/>
        <v>1</v>
      </c>
      <c r="AV86" s="124">
        <f>AV85+AW86-MIN(AV85,ROUND(AV85*Supuestos!$C$71*Supuestos!$F$13,0))</f>
        <v>601</v>
      </c>
      <c r="AW86" s="124">
        <f>MAX(0,MIN(ROUND(Supuestos!$F$12*(1+AV$53)*$N86,0),IF(Supuestos!$C$72&gt;0,Supuestos!$C$72-AV85+MIN(AV85,ROUND(AV85*Supuestos!$C$71*Supuestos!$F$13,0)),ROUND(Supuestos!$F$12*(1+AV$53)*$N86,0))))</f>
        <v>26</v>
      </c>
      <c r="AX86" s="124">
        <f t="shared" si="16"/>
        <v>5620.9326594359918</v>
      </c>
      <c r="AY86" s="124">
        <f t="shared" si="17"/>
        <v>1</v>
      </c>
      <c r="AZ86" s="124">
        <f>AZ85+BA86-MIN(AZ85,ROUND(AZ85*Supuestos!$C$71*Supuestos!$F$13,0))</f>
        <v>601</v>
      </c>
      <c r="BA86" s="124">
        <f>MAX(0,MIN(ROUND(Supuestos!$F$12*(1+AZ$53)*$N86,0),IF(Supuestos!$C$72&gt;0,Supuestos!$C$72-AZ85+MIN(AZ85,ROUND(AZ85*Supuestos!$C$71*Supuestos!$F$13,0)),ROUND(Supuestos!$F$12*(1+AZ$53)*$N86,0))))</f>
        <v>26</v>
      </c>
      <c r="BB86" s="124">
        <f t="shared" si="18"/>
        <v>6766.8176163799908</v>
      </c>
      <c r="BC86" s="124">
        <f t="shared" si="19"/>
        <v>1</v>
      </c>
      <c r="BD86" s="124">
        <f>BD85+BE86-MIN(BD85,ROUND(BD85*Supuestos!$C$71*Supuestos!$F$13,0))</f>
        <v>601</v>
      </c>
      <c r="BE86" s="124">
        <f>MAX(0,MIN(ROUND(Supuestos!$F$12*(1+BD$53)*$N86,0),IF(Supuestos!$C$72&gt;0,Supuestos!$C$72-BD85+MIN(BD85,ROUND(BD85*Supuestos!$C$71*Supuestos!$F$13,0)),ROUND(Supuestos!$F$12*(1+BD$53)*$N86,0))))</f>
        <v>26</v>
      </c>
      <c r="BF86" s="124">
        <f t="shared" si="20"/>
        <v>7912.7025733239934</v>
      </c>
      <c r="BG86" s="124">
        <f t="shared" si="21"/>
        <v>1</v>
      </c>
      <c r="BH86" s="124">
        <f>BH85+BI86-MIN(BH85,ROUND(BH85*Supuestos!$C$71*Supuestos!$F$13,0))</f>
        <v>601</v>
      </c>
      <c r="BI86" s="124">
        <f>MAX(0,MIN(ROUND(Supuestos!$F$12*(1+BH$53)*$N86,0),IF(Supuestos!$C$72&gt;0,Supuestos!$C$72-BH85+MIN(BH85,ROUND(BH85*Supuestos!$C$71*Supuestos!$F$13,0)),ROUND(Supuestos!$F$12*(1+BH$53)*$N86,0))))</f>
        <v>26</v>
      </c>
      <c r="BJ86" s="124">
        <f t="shared" si="22"/>
        <v>9058.587530267996</v>
      </c>
      <c r="BK86" s="124">
        <f t="shared" si="23"/>
        <v>1</v>
      </c>
      <c r="BL86" s="124">
        <f>BL85+BM86-MIN(BL85,ROUND(BL85*Supuestos!$C$71*Supuestos!$F$13,0))</f>
        <v>669</v>
      </c>
      <c r="BM86" s="124">
        <f>MAX(0,MIN(ROUND(Supuestos!$F$12*(1+BL$53)*$N86,0),IF(Supuestos!$C$72&gt;0,Supuestos!$C$72-BL85+MIN(BL85,ROUND(BL85*Supuestos!$C$71*Supuestos!$F$13,0)),ROUND(Supuestos!$F$12*(1+BL$53)*$N86,0))))</f>
        <v>29</v>
      </c>
      <c r="BN86" s="124">
        <f t="shared" si="24"/>
        <v>7062.7962083479906</v>
      </c>
      <c r="BO86" s="124">
        <f t="shared" si="25"/>
        <v>1</v>
      </c>
      <c r="BP86" s="124">
        <f>BP85+BQ86-MIN(BP85,ROUND(BP85*Supuestos!$C$71*Supuestos!$F$13,0))</f>
        <v>669</v>
      </c>
      <c r="BQ86" s="124">
        <f>MAX(0,MIN(ROUND(Supuestos!$F$12*(1+BP$53)*$N86,0),IF(Supuestos!$C$72&gt;0,Supuestos!$C$72-BP85+MIN(BP85,ROUND(BP85*Supuestos!$C$71*Supuestos!$F$13,0)),ROUND(Supuestos!$F$12*(1+BP$53)*$N86,0))))</f>
        <v>29</v>
      </c>
      <c r="BR86" s="124">
        <f t="shared" si="26"/>
        <v>8338.3320422839861</v>
      </c>
      <c r="BS86" s="124">
        <f t="shared" si="27"/>
        <v>1</v>
      </c>
      <c r="BT86" s="124">
        <f>BT85+BU86-MIN(BT85,ROUND(BT85*Supuestos!$C$71*Supuestos!$F$13,0))</f>
        <v>669</v>
      </c>
      <c r="BU86" s="124">
        <f>MAX(0,MIN(ROUND(Supuestos!$F$12*(1+BT$53)*$N86,0),IF(Supuestos!$C$72&gt;0,Supuestos!$C$72-BT85+MIN(BT85,ROUND(BT85*Supuestos!$C$71*Supuestos!$F$13,0)),ROUND(Supuestos!$F$12*(1+BT$53)*$N86,0))))</f>
        <v>29</v>
      </c>
      <c r="BV86" s="124">
        <f t="shared" si="28"/>
        <v>9613.8678762199888</v>
      </c>
      <c r="BW86" s="124">
        <f t="shared" si="29"/>
        <v>1</v>
      </c>
      <c r="BX86" s="124">
        <f>BX85+BY86-MIN(BX85,ROUND(BX85*Supuestos!$C$71*Supuestos!$F$13,0))</f>
        <v>669</v>
      </c>
      <c r="BY86" s="124">
        <f>MAX(0,MIN(ROUND(Supuestos!$F$12*(1+BX$53)*$N86,0),IF(Supuestos!$C$72&gt;0,Supuestos!$C$72-BX85+MIN(BX85,ROUND(BX85*Supuestos!$C$71*Supuestos!$F$13,0)),ROUND(Supuestos!$F$12*(1+BX$53)*$N86,0))))</f>
        <v>29</v>
      </c>
      <c r="BZ86" s="124">
        <f t="shared" si="30"/>
        <v>10889.403710155992</v>
      </c>
      <c r="CA86" s="124">
        <f t="shared" si="31"/>
        <v>1</v>
      </c>
      <c r="CB86" s="124">
        <f>CB85+CC86-MIN(CB85,ROUND(CB85*Supuestos!$C$71*Supuestos!$F$13,0))</f>
        <v>669</v>
      </c>
      <c r="CC86" s="124">
        <f>MAX(0,MIN(ROUND(Supuestos!$F$12*(1+CB$53)*$N86,0),IF(Supuestos!$C$72&gt;0,Supuestos!$C$72-CB85+MIN(CB85,ROUND(CB85*Supuestos!$C$71*Supuestos!$F$13,0)),ROUND(Supuestos!$F$12*(1+CB$53)*$N86,0))))</f>
        <v>29</v>
      </c>
      <c r="CD86" s="124">
        <f t="shared" si="32"/>
        <v>12164.939544091991</v>
      </c>
      <c r="CE86" s="124">
        <f t="shared" si="33"/>
        <v>1</v>
      </c>
      <c r="CF86" s="124">
        <f>CF85+CG86-MIN(CF85,ROUND(CF85*Supuestos!$C$71*Supuestos!$F$13,0))</f>
        <v>737</v>
      </c>
      <c r="CG86" s="124">
        <f>MAX(0,MIN(ROUND(Supuestos!$F$12*(1+CF$53)*$N86,0),IF(Supuestos!$C$72&gt;0,Supuestos!$C$72-CF85+MIN(CF85,ROUND(CF85*Supuestos!$C$71*Supuestos!$F$13,0)),ROUND(Supuestos!$F$12*(1+CF$53)*$N86,0))))</f>
        <v>32</v>
      </c>
      <c r="CH86" s="124">
        <f t="shared" si="34"/>
        <v>9650.544714203992</v>
      </c>
      <c r="CI86" s="124">
        <f t="shared" si="35"/>
        <v>1</v>
      </c>
      <c r="CJ86" s="124">
        <f>CJ85+CK86-MIN(CJ85,ROUND(CJ85*Supuestos!$C$71*Supuestos!$F$13,0))</f>
        <v>737</v>
      </c>
      <c r="CK86" s="124">
        <f>MAX(0,MIN(ROUND(Supuestos!$F$12*(1+CJ$53)*$N86,0),IF(Supuestos!$C$72&gt;0,Supuestos!$C$72-CJ85+MIN(CJ85,ROUND(CJ85*Supuestos!$C$71*Supuestos!$F$13,0)),ROUND(Supuestos!$F$12*(1+CJ$53)*$N86,0))))</f>
        <v>32</v>
      </c>
      <c r="CL86" s="124">
        <f t="shared" si="36"/>
        <v>11055.731425131988</v>
      </c>
      <c r="CM86" s="124">
        <f t="shared" si="37"/>
        <v>1</v>
      </c>
      <c r="CN86" s="124">
        <f>CN85+CO86-MIN(CN85,ROUND(CN85*Supuestos!$C$71*Supuestos!$F$13,0))</f>
        <v>737</v>
      </c>
      <c r="CO86" s="124">
        <f>MAX(0,MIN(ROUND(Supuestos!$F$12*(1+CN$53)*$N86,0),IF(Supuestos!$C$72&gt;0,Supuestos!$C$72-CN85+MIN(CN85,ROUND(CN85*Supuestos!$C$71*Supuestos!$F$13,0)),ROUND(Supuestos!$F$12*(1+CN$53)*$N86,0))))</f>
        <v>32</v>
      </c>
      <c r="CP86" s="124">
        <f t="shared" si="38"/>
        <v>12460.918136059991</v>
      </c>
      <c r="CQ86" s="124">
        <f t="shared" si="39"/>
        <v>1</v>
      </c>
      <c r="CR86" s="124">
        <f>CR85+CS86-MIN(CR85,ROUND(CR85*Supuestos!$C$71*Supuestos!$F$13,0))</f>
        <v>737</v>
      </c>
      <c r="CS86" s="124">
        <f>MAX(0,MIN(ROUND(Supuestos!$F$12*(1+CR$53)*$N86,0),IF(Supuestos!$C$72&gt;0,Supuestos!$C$72-CR85+MIN(CR85,ROUND(CR85*Supuestos!$C$71*Supuestos!$F$13,0)),ROUND(Supuestos!$F$12*(1+CR$53)*$N86,0))))</f>
        <v>32</v>
      </c>
      <c r="CT86" s="124">
        <f t="shared" si="40"/>
        <v>13866.10484698799</v>
      </c>
      <c r="CU86" s="124">
        <f t="shared" si="41"/>
        <v>1</v>
      </c>
      <c r="CV86" s="124">
        <f>CV85+CW86-MIN(CV85,ROUND(CV85*Supuestos!$C$71*Supuestos!$F$13,0))</f>
        <v>737</v>
      </c>
      <c r="CW86" s="124">
        <f>MAX(0,MIN(ROUND(Supuestos!$F$12*(1+CV$53)*$N86,0),IF(Supuestos!$C$72&gt;0,Supuestos!$C$72-CV85+MIN(CV85,ROUND(CV85*Supuestos!$C$71*Supuestos!$F$13,0)),ROUND(Supuestos!$F$12*(1+CV$53)*$N86,0))))</f>
        <v>32</v>
      </c>
      <c r="CX86" s="124">
        <f t="shared" si="42"/>
        <v>15271.291557915996</v>
      </c>
      <c r="CY86" s="124">
        <f t="shared" si="43"/>
        <v>1</v>
      </c>
      <c r="CZ86" s="124">
        <f>CZ85+DA86-MIN(CZ85,ROUND(CZ85*Supuestos!$C$71*Supuestos!$F$13,0))</f>
        <v>800</v>
      </c>
      <c r="DA86" s="124">
        <f>MAX(0,MIN(ROUND(Supuestos!$F$12*(1+CZ$53)*$N86,0),IF(Supuestos!$C$72&gt;0,Supuestos!$C$72-CZ85+MIN(CZ85,ROUND(CZ85*Supuestos!$C$71*Supuestos!$F$13,0)),ROUND(Supuestos!$F$12*(1+CZ$53)*$N86,0))))</f>
        <v>34</v>
      </c>
      <c r="DB86" s="124">
        <f t="shared" si="44"/>
        <v>12031.836733599994</v>
      </c>
      <c r="DC86" s="124">
        <f t="shared" si="45"/>
        <v>1</v>
      </c>
      <c r="DD86" s="124">
        <f>DD85+DE86-MIN(DD85,ROUND(DD85*Supuestos!$C$71*Supuestos!$F$13,0))</f>
        <v>800</v>
      </c>
      <c r="DE86" s="124">
        <f>MAX(0,MIN(ROUND(Supuestos!$F$12*(1+DD$53)*$N86,0),IF(Supuestos!$C$72&gt;0,Supuestos!$C$72-DD85+MIN(DD85,ROUND(DD85*Supuestos!$C$71*Supuestos!$F$13,0)),ROUND(Supuestos!$F$12*(1+DD$53)*$N86,0))))</f>
        <v>34</v>
      </c>
      <c r="DF86" s="124">
        <f t="shared" si="46"/>
        <v>13557.14116879999</v>
      </c>
      <c r="DG86" s="124">
        <f t="shared" si="47"/>
        <v>1</v>
      </c>
      <c r="DH86" s="124">
        <f>DH85+DI86-MIN(DH85,ROUND(DH85*Supuestos!$C$71*Supuestos!$F$13,0))</f>
        <v>800</v>
      </c>
      <c r="DI86" s="124">
        <f>MAX(0,MIN(ROUND(Supuestos!$F$12*(1+DH$53)*$N86,0),IF(Supuestos!$C$72&gt;0,Supuestos!$C$72-DH85+MIN(DH85,ROUND(DH85*Supuestos!$C$71*Supuestos!$F$13,0)),ROUND(Supuestos!$F$12*(1+DH$53)*$N86,0))))</f>
        <v>34</v>
      </c>
      <c r="DJ86" s="124">
        <f t="shared" si="48"/>
        <v>15082.445603999986</v>
      </c>
      <c r="DK86" s="124">
        <f t="shared" si="49"/>
        <v>1</v>
      </c>
      <c r="DL86" s="124">
        <f>DL85+DM86-MIN(DL85,ROUND(DL85*Supuestos!$C$71*Supuestos!$F$13,0))</f>
        <v>800</v>
      </c>
      <c r="DM86" s="124">
        <f>MAX(0,MIN(ROUND(Supuestos!$F$12*(1+DL$53)*$N86,0),IF(Supuestos!$C$72&gt;0,Supuestos!$C$72-DL85+MIN(DL85,ROUND(DL85*Supuestos!$C$71*Supuestos!$F$13,0)),ROUND(Supuestos!$F$12*(1+DL$53)*$N86,0))))</f>
        <v>34</v>
      </c>
      <c r="DN86" s="124">
        <f t="shared" si="50"/>
        <v>16607.750039199993</v>
      </c>
      <c r="DO86" s="124">
        <f t="shared" si="51"/>
        <v>1</v>
      </c>
      <c r="DP86" s="124">
        <f>DP85+DQ86-MIN(DP85,ROUND(DP85*Supuestos!$C$71*Supuestos!$F$13,0))</f>
        <v>800</v>
      </c>
      <c r="DQ86" s="124">
        <f>MAX(0,MIN(ROUND(Supuestos!$F$12*(1+DP$53)*$N86,0),IF(Supuestos!$C$72&gt;0,Supuestos!$C$72-DP85+MIN(DP85,ROUND(DP85*Supuestos!$C$71*Supuestos!$F$13,0)),ROUND(Supuestos!$F$12*(1+DP$53)*$N86,0))))</f>
        <v>34</v>
      </c>
      <c r="DR86" s="124">
        <f t="shared" si="52"/>
        <v>18133.054474399993</v>
      </c>
      <c r="DS86" s="124">
        <f t="shared" si="53"/>
        <v>1</v>
      </c>
    </row>
    <row r="87" spans="2:123" ht="13.5" customHeight="1" x14ac:dyDescent="0.2">
      <c r="B87" s="7" t="str">
        <f>"Mes 32  ·  "&amp;CHOOSE(MONTH(DATE(YEAR(Supuestos!$C$8),MONTH(Supuestos!$C$8)+(32)-1,1)),"ene","feb","mar","abr","may","jun","jul","ago","sep","oct","nov","dic")&amp;" "&amp;YEAR(DATE(YEAR(Supuestos!$C$8),MONTH(Supuestos!$C$8)+(32)-1,1))</f>
        <v>Mes 32  ·  abr 2030</v>
      </c>
      <c r="C87" s="74">
        <f>'Previsión 36 meses'!$J$90</f>
        <v>667</v>
      </c>
      <c r="D87" s="72">
        <f t="shared" si="55"/>
        <v>449</v>
      </c>
      <c r="E87" s="59">
        <f>'Previsión 36 meses'!$J$95</f>
        <v>30122.902232499993</v>
      </c>
      <c r="F87" s="59">
        <f>'Previsión 36 meses'!$J$107+'Previsión 36 meses'!$J$111</f>
        <v>20673.980733040004</v>
      </c>
      <c r="G87" s="59">
        <f>'Previsión 36 meses'!$J$112</f>
        <v>9448.9214994599897</v>
      </c>
      <c r="H87" s="59">
        <f>'Previsión 36 meses'!$J$118</f>
        <v>7121.7877253557599</v>
      </c>
      <c r="I87" s="76">
        <f>'Previsión 36 meses'!$J$119</f>
        <v>100098.07210116988</v>
      </c>
      <c r="J87" s="59">
        <f t="shared" si="3"/>
        <v>111303.55022787985</v>
      </c>
      <c r="M87" s="119">
        <v>32</v>
      </c>
      <c r="N87" s="123">
        <f>IF($M87&lt;=12,INDEX(Supuestos!$C$55:$C$66,$M87)+IF($M87=1,Supuestos!$C$52,0),IF($M87&lt;=24,Supuestos!$C$69,Supuestos!$C$70)*IFERROR(INDEX(Supuestos!$C$55:$C$66,MOD($M87-1,12)+1)/AVERAGE(Supuestos!$C$55:$C$66),1))</f>
        <v>24.601366742596809</v>
      </c>
      <c r="O87" s="123">
        <f>Supuestos!$C$45*Supuestos!$F$14*(1+Supuestos!$C$112)^INT(($M87-1)/12)*(1-Supuestos!$C$98)</f>
        <v>38.132610879999994</v>
      </c>
      <c r="P87" s="123">
        <f>(Supuestos!$C$48+Supuestos!$C$49)*(1+Supuestos!$C$112)^INT(($M87-1)/12)*(1-Supuestos!$C$98-Supuestos!$C$99)</f>
        <v>2.8198775</v>
      </c>
      <c r="Q87" s="123">
        <f>Supuestos!$C$47*(1+Supuestos!$C$112)^INT(($M87-1)/12)*(1-Supuestos!$C$98)</f>
        <v>20.760349999999999</v>
      </c>
      <c r="R87" s="120">
        <f>'Previsión 36 meses'!$J$107</f>
        <v>18385.397000000004</v>
      </c>
      <c r="S87" s="120">
        <f t="shared" si="0"/>
        <v>100098.07210116988</v>
      </c>
      <c r="T87" s="120">
        <f t="shared" si="1"/>
        <v>0</v>
      </c>
      <c r="U87" s="22" t="str">
        <f>CHOOSE(MONTH(DATE(YEAR(Supuestos!$C$8),MONTH(Supuestos!$C$8)+(32)-1,1)),"ene","feb","mar","abr","may","jun","jul","ago","sep","oct","nov","dic")&amp;" "&amp;RIGHT(YEAR(DATE(YEAR(Supuestos!$C$8),MONTH(Supuestos!$C$8)+(32)-1,1)),2)</f>
        <v>abr 30</v>
      </c>
      <c r="V87" s="121">
        <f>IF(AND(Supuestos!$C$33&gt;0,J87&gt;=Supuestos!$C$33),1,0)</f>
        <v>0</v>
      </c>
      <c r="X87" s="124">
        <f>X86+Y87-MIN(X86,ROUND(X86*Supuestos!$C$71*Supuestos!$F$13,0))</f>
        <v>533</v>
      </c>
      <c r="Y87" s="124">
        <f>MAX(0,MIN(ROUND(Supuestos!$F$12*(1+X$53)*$N87,0),IF(Supuestos!$C$72&gt;0,Supuestos!$C$72-X86+MIN(X86,ROUND(X86*Supuestos!$C$71*Supuestos!$F$13,0)),ROUND(Supuestos!$F$12*(1+X$53)*$N87,0))))</f>
        <v>20</v>
      </c>
      <c r="Z87" s="124">
        <f t="shared" si="4"/>
        <v>1825.01814663599</v>
      </c>
      <c r="AA87" s="124">
        <f t="shared" si="5"/>
        <v>1</v>
      </c>
      <c r="AB87" s="124">
        <f>AB86+AC87-MIN(AB86,ROUND(AB86*Supuestos!$C$71*Supuestos!$F$13,0))</f>
        <v>533</v>
      </c>
      <c r="AC87" s="124">
        <f>MAX(0,MIN(ROUND(Supuestos!$F$12*(1+AB$53)*$N87,0),IF(Supuestos!$C$72&gt;0,Supuestos!$C$72-AB86+MIN(AB86,ROUND(AB86*Supuestos!$C$71*Supuestos!$F$13,0)),ROUND(Supuestos!$F$12*(1+AB$53)*$N87,0))))</f>
        <v>20</v>
      </c>
      <c r="AD87" s="124">
        <f t="shared" si="6"/>
        <v>2841.2522265879888</v>
      </c>
      <c r="AE87" s="124">
        <f t="shared" si="7"/>
        <v>1</v>
      </c>
      <c r="AF87" s="124">
        <f>AF86+AG87-MIN(AF86,ROUND(AF86*Supuestos!$C$71*Supuestos!$F$13,0))</f>
        <v>533</v>
      </c>
      <c r="AG87" s="124">
        <f>MAX(0,MIN(ROUND(Supuestos!$F$12*(1+AF$53)*$N87,0),IF(Supuestos!$C$72&gt;0,Supuestos!$C$72-AF86+MIN(AF86,ROUND(AF86*Supuestos!$C$71*Supuestos!$F$13,0)),ROUND(Supuestos!$F$12*(1+AF$53)*$N87,0))))</f>
        <v>20</v>
      </c>
      <c r="AH87" s="124">
        <f t="shared" si="8"/>
        <v>3857.4863065399877</v>
      </c>
      <c r="AI87" s="124">
        <f t="shared" si="9"/>
        <v>1</v>
      </c>
      <c r="AJ87" s="124">
        <f>AJ86+AK87-MIN(AJ86,ROUND(AJ86*Supuestos!$C$71*Supuestos!$F$13,0))</f>
        <v>533</v>
      </c>
      <c r="AK87" s="124">
        <f>MAX(0,MIN(ROUND(Supuestos!$F$12*(1+AJ$53)*$N87,0),IF(Supuestos!$C$72&gt;0,Supuestos!$C$72-AJ86+MIN(AJ86,ROUND(AJ86*Supuestos!$C$71*Supuestos!$F$13,0)),ROUND(Supuestos!$F$12*(1+AJ$53)*$N87,0))))</f>
        <v>20</v>
      </c>
      <c r="AL87" s="124">
        <f t="shared" si="10"/>
        <v>4873.7203864919902</v>
      </c>
      <c r="AM87" s="124">
        <f t="shared" si="11"/>
        <v>1</v>
      </c>
      <c r="AN87" s="124">
        <f>AN86+AO87-MIN(AN86,ROUND(AN86*Supuestos!$C$71*Supuestos!$F$13,0))</f>
        <v>533</v>
      </c>
      <c r="AO87" s="124">
        <f>MAX(0,MIN(ROUND(Supuestos!$F$12*(1+AN$53)*$N87,0),IF(Supuestos!$C$72&gt;0,Supuestos!$C$72-AN86+MIN(AN86,ROUND(AN86*Supuestos!$C$71*Supuestos!$F$13,0)),ROUND(Supuestos!$F$12*(1+AN$53)*$N87,0))))</f>
        <v>20</v>
      </c>
      <c r="AP87" s="124">
        <f t="shared" si="12"/>
        <v>5889.9544664439927</v>
      </c>
      <c r="AQ87" s="124">
        <f t="shared" si="13"/>
        <v>1</v>
      </c>
      <c r="AR87" s="124">
        <f>AR86+AS87-MIN(AR86,ROUND(AR86*Supuestos!$C$71*Supuestos!$F$13,0))</f>
        <v>599</v>
      </c>
      <c r="AS87" s="124">
        <f>MAX(0,MIN(ROUND(Supuestos!$F$12*(1+AR$53)*$N87,0),IF(Supuestos!$C$72&gt;0,Supuestos!$C$72-AR86+MIN(AR86,ROUND(AR86*Supuestos!$C$71*Supuestos!$F$13,0)),ROUND(Supuestos!$F$12*(1+AR$53)*$N87,0))))</f>
        <v>22</v>
      </c>
      <c r="AT87" s="124">
        <f t="shared" si="14"/>
        <v>4317.7278479079905</v>
      </c>
      <c r="AU87" s="124">
        <f t="shared" si="15"/>
        <v>1</v>
      </c>
      <c r="AV87" s="124">
        <f>AV86+AW87-MIN(AV86,ROUND(AV86*Supuestos!$C$71*Supuestos!$F$13,0))</f>
        <v>599</v>
      </c>
      <c r="AW87" s="124">
        <f>MAX(0,MIN(ROUND(Supuestos!$F$12*(1+AV$53)*$N87,0),IF(Supuestos!$C$72&gt;0,Supuestos!$C$72-AV86+MIN(AV86,ROUND(AV86*Supuestos!$C$71*Supuestos!$F$13,0)),ROUND(Supuestos!$F$12*(1+AV$53)*$N87,0))))</f>
        <v>22</v>
      </c>
      <c r="AX87" s="124">
        <f t="shared" si="16"/>
        <v>5459.7995437639875</v>
      </c>
      <c r="AY87" s="124">
        <f t="shared" si="17"/>
        <v>1</v>
      </c>
      <c r="AZ87" s="124">
        <f>AZ86+BA87-MIN(AZ86,ROUND(AZ86*Supuestos!$C$71*Supuestos!$F$13,0))</f>
        <v>599</v>
      </c>
      <c r="BA87" s="124">
        <f>MAX(0,MIN(ROUND(Supuestos!$F$12*(1+AZ$53)*$N87,0),IF(Supuestos!$C$72&gt;0,Supuestos!$C$72-AZ86+MIN(AZ86,ROUND(AZ86*Supuestos!$C$71*Supuestos!$F$13,0)),ROUND(Supuestos!$F$12*(1+AZ$53)*$N87,0))))</f>
        <v>22</v>
      </c>
      <c r="BB87" s="124">
        <f t="shared" si="18"/>
        <v>6601.871239619988</v>
      </c>
      <c r="BC87" s="124">
        <f t="shared" si="19"/>
        <v>1</v>
      </c>
      <c r="BD87" s="124">
        <f>BD86+BE87-MIN(BD86,ROUND(BD86*Supuestos!$C$71*Supuestos!$F$13,0))</f>
        <v>599</v>
      </c>
      <c r="BE87" s="124">
        <f>MAX(0,MIN(ROUND(Supuestos!$F$12*(1+BD$53)*$N87,0),IF(Supuestos!$C$72&gt;0,Supuestos!$C$72-BD86+MIN(BD86,ROUND(BD86*Supuestos!$C$71*Supuestos!$F$13,0)),ROUND(Supuestos!$F$12*(1+BD$53)*$N87,0))))</f>
        <v>22</v>
      </c>
      <c r="BF87" s="124">
        <f t="shared" si="20"/>
        <v>7743.9429354759923</v>
      </c>
      <c r="BG87" s="124">
        <f t="shared" si="21"/>
        <v>1</v>
      </c>
      <c r="BH87" s="124">
        <f>BH86+BI87-MIN(BH86,ROUND(BH86*Supuestos!$C$71*Supuestos!$F$13,0))</f>
        <v>599</v>
      </c>
      <c r="BI87" s="124">
        <f>MAX(0,MIN(ROUND(Supuestos!$F$12*(1+BH$53)*$N87,0),IF(Supuestos!$C$72&gt;0,Supuestos!$C$72-BH86+MIN(BH86,ROUND(BH86*Supuestos!$C$71*Supuestos!$F$13,0)),ROUND(Supuestos!$F$12*(1+BH$53)*$N87,0))))</f>
        <v>22</v>
      </c>
      <c r="BJ87" s="124">
        <f t="shared" si="22"/>
        <v>8886.0146313319929</v>
      </c>
      <c r="BK87" s="124">
        <f t="shared" si="23"/>
        <v>1</v>
      </c>
      <c r="BL87" s="124">
        <f>BL86+BM87-MIN(BL86,ROUND(BL86*Supuestos!$C$71*Supuestos!$F$13,0))</f>
        <v>667</v>
      </c>
      <c r="BM87" s="124">
        <f>MAX(0,MIN(ROUND(Supuestos!$F$12*(1+BL$53)*$N87,0),IF(Supuestos!$C$72&gt;0,Supuestos!$C$72-BL86+MIN(BL86,ROUND(BL86*Supuestos!$C$71*Supuestos!$F$13,0)),ROUND(Supuestos!$F$12*(1+BL$53)*$N87,0))))</f>
        <v>25</v>
      </c>
      <c r="BN87" s="124">
        <f t="shared" si="24"/>
        <v>6905.4763537639919</v>
      </c>
      <c r="BO87" s="124">
        <f t="shared" si="25"/>
        <v>1</v>
      </c>
      <c r="BP87" s="124">
        <f>BP86+BQ87-MIN(BP86,ROUND(BP86*Supuestos!$C$71*Supuestos!$F$13,0))</f>
        <v>667</v>
      </c>
      <c r="BQ87" s="124">
        <f>MAX(0,MIN(ROUND(Supuestos!$F$12*(1+BP$53)*$N87,0),IF(Supuestos!$C$72&gt;0,Supuestos!$C$72-BP86+MIN(BP86,ROUND(BP86*Supuestos!$C$71*Supuestos!$F$13,0)),ROUND(Supuestos!$F$12*(1+BP$53)*$N87,0))))</f>
        <v>25</v>
      </c>
      <c r="BR87" s="124">
        <f t="shared" si="26"/>
        <v>8177.198926611989</v>
      </c>
      <c r="BS87" s="124">
        <f t="shared" si="27"/>
        <v>1</v>
      </c>
      <c r="BT87" s="124">
        <f>BT86+BU87-MIN(BT86,ROUND(BT86*Supuestos!$C$71*Supuestos!$F$13,0))</f>
        <v>667</v>
      </c>
      <c r="BU87" s="124">
        <f>MAX(0,MIN(ROUND(Supuestos!$F$12*(1+BT$53)*$N87,0),IF(Supuestos!$C$72&gt;0,Supuestos!$C$72-BT86+MIN(BT86,ROUND(BT86*Supuestos!$C$71*Supuestos!$F$13,0)),ROUND(Supuestos!$F$12*(1+BT$53)*$N87,0))))</f>
        <v>25</v>
      </c>
      <c r="BV87" s="124">
        <f t="shared" si="28"/>
        <v>9448.9214994599897</v>
      </c>
      <c r="BW87" s="124">
        <f t="shared" si="29"/>
        <v>1</v>
      </c>
      <c r="BX87" s="124">
        <f>BX86+BY87-MIN(BX86,ROUND(BX86*Supuestos!$C$71*Supuestos!$F$13,0))</f>
        <v>667</v>
      </c>
      <c r="BY87" s="124">
        <f>MAX(0,MIN(ROUND(Supuestos!$F$12*(1+BX$53)*$N87,0),IF(Supuestos!$C$72&gt;0,Supuestos!$C$72-BX86+MIN(BX86,ROUND(BX86*Supuestos!$C$71*Supuestos!$F$13,0)),ROUND(Supuestos!$F$12*(1+BX$53)*$N87,0))))</f>
        <v>25</v>
      </c>
      <c r="BZ87" s="124">
        <f t="shared" si="30"/>
        <v>10720.64407230799</v>
      </c>
      <c r="CA87" s="124">
        <f t="shared" si="31"/>
        <v>1</v>
      </c>
      <c r="CB87" s="124">
        <f>CB86+CC87-MIN(CB86,ROUND(CB86*Supuestos!$C$71*Supuestos!$F$13,0))</f>
        <v>667</v>
      </c>
      <c r="CC87" s="124">
        <f>MAX(0,MIN(ROUND(Supuestos!$F$12*(1+CB$53)*$N87,0),IF(Supuestos!$C$72&gt;0,Supuestos!$C$72-CB86+MIN(CB86,ROUND(CB86*Supuestos!$C$71*Supuestos!$F$13,0)),ROUND(Supuestos!$F$12*(1+CB$53)*$N87,0))))</f>
        <v>25</v>
      </c>
      <c r="CD87" s="124">
        <f t="shared" si="32"/>
        <v>11992.366645155995</v>
      </c>
      <c r="CE87" s="124">
        <f t="shared" si="33"/>
        <v>1</v>
      </c>
      <c r="CF87" s="124">
        <f>CF86+CG87-MIN(CF86,ROUND(CF86*Supuestos!$C$71*Supuestos!$F$13,0))</f>
        <v>735</v>
      </c>
      <c r="CG87" s="124">
        <f>MAX(0,MIN(ROUND(Supuestos!$F$12*(1+CF$53)*$N87,0),IF(Supuestos!$C$72&gt;0,Supuestos!$C$72-CF86+MIN(CF86,ROUND(CF86*Supuestos!$C$71*Supuestos!$F$13,0)),ROUND(Supuestos!$F$12*(1+CF$53)*$N87,0))))</f>
        <v>27</v>
      </c>
      <c r="CH87" s="124">
        <f t="shared" si="34"/>
        <v>9472.4645096199893</v>
      </c>
      <c r="CI87" s="124">
        <f t="shared" si="35"/>
        <v>1</v>
      </c>
      <c r="CJ87" s="124">
        <f>CJ86+CK87-MIN(CJ86,ROUND(CJ86*Supuestos!$C$71*Supuestos!$F$13,0))</f>
        <v>735</v>
      </c>
      <c r="CK87" s="124">
        <f>MAX(0,MIN(ROUND(Supuestos!$F$12*(1+CJ$53)*$N87,0),IF(Supuestos!$C$72&gt;0,Supuestos!$C$72-CJ86+MIN(CJ86,ROUND(CJ86*Supuestos!$C$71*Supuestos!$F$13,0)),ROUND(Supuestos!$F$12*(1+CJ$53)*$N87,0))))</f>
        <v>27</v>
      </c>
      <c r="CL87" s="124">
        <f t="shared" si="36"/>
        <v>10873.83795945999</v>
      </c>
      <c r="CM87" s="124">
        <f t="shared" si="37"/>
        <v>1</v>
      </c>
      <c r="CN87" s="124">
        <f>CN86+CO87-MIN(CN86,ROUND(CN86*Supuestos!$C$71*Supuestos!$F$13,0))</f>
        <v>735</v>
      </c>
      <c r="CO87" s="124">
        <f>MAX(0,MIN(ROUND(Supuestos!$F$12*(1+CN$53)*$N87,0),IF(Supuestos!$C$72&gt;0,Supuestos!$C$72-CN86+MIN(CN86,ROUND(CN86*Supuestos!$C$71*Supuestos!$F$13,0)),ROUND(Supuestos!$F$12*(1+CN$53)*$N87,0))))</f>
        <v>27</v>
      </c>
      <c r="CP87" s="124">
        <f t="shared" si="38"/>
        <v>12275.211409299991</v>
      </c>
      <c r="CQ87" s="124">
        <f t="shared" si="39"/>
        <v>1</v>
      </c>
      <c r="CR87" s="124">
        <f>CR86+CS87-MIN(CR86,ROUND(CR86*Supuestos!$C$71*Supuestos!$F$13,0))</f>
        <v>735</v>
      </c>
      <c r="CS87" s="124">
        <f>MAX(0,MIN(ROUND(Supuestos!$F$12*(1+CR$53)*$N87,0),IF(Supuestos!$C$72&gt;0,Supuestos!$C$72-CR86+MIN(CR86,ROUND(CR86*Supuestos!$C$71*Supuestos!$F$13,0)),ROUND(Supuestos!$F$12*(1+CR$53)*$N87,0))))</f>
        <v>27</v>
      </c>
      <c r="CT87" s="124">
        <f t="shared" si="40"/>
        <v>13676.584859139992</v>
      </c>
      <c r="CU87" s="124">
        <f t="shared" si="41"/>
        <v>1</v>
      </c>
      <c r="CV87" s="124">
        <f>CV86+CW87-MIN(CV86,ROUND(CV86*Supuestos!$C$71*Supuestos!$F$13,0))</f>
        <v>735</v>
      </c>
      <c r="CW87" s="124">
        <f>MAX(0,MIN(ROUND(Supuestos!$F$12*(1+CV$53)*$N87,0),IF(Supuestos!$C$72&gt;0,Supuestos!$C$72-CV86+MIN(CV86,ROUND(CV86*Supuestos!$C$71*Supuestos!$F$13,0)),ROUND(Supuestos!$F$12*(1+CV$53)*$N87,0))))</f>
        <v>27</v>
      </c>
      <c r="CX87" s="124">
        <f t="shared" si="42"/>
        <v>15077.958308979993</v>
      </c>
      <c r="CY87" s="124">
        <f t="shared" si="43"/>
        <v>1</v>
      </c>
      <c r="CZ87" s="124">
        <f>CZ86+DA87-MIN(CZ86,ROUND(CZ86*Supuestos!$C$71*Supuestos!$F$13,0))</f>
        <v>798</v>
      </c>
      <c r="DA87" s="124">
        <f>MAX(0,MIN(ROUND(Supuestos!$F$12*(1+CZ$53)*$N87,0),IF(Supuestos!$C$72&gt;0,Supuestos!$C$72-CZ86+MIN(CZ86,ROUND(CZ86*Supuestos!$C$71*Supuestos!$F$13,0)),ROUND(Supuestos!$F$12*(1+CZ$53)*$N87,0))))</f>
        <v>30</v>
      </c>
      <c r="DB87" s="124">
        <f t="shared" si="44"/>
        <v>11874.516879015991</v>
      </c>
      <c r="DC87" s="124">
        <f t="shared" si="45"/>
        <v>1</v>
      </c>
      <c r="DD87" s="124">
        <f>DD86+DE87-MIN(DD86,ROUND(DD86*Supuestos!$C$71*Supuestos!$F$13,0))</f>
        <v>798</v>
      </c>
      <c r="DE87" s="124">
        <f>MAX(0,MIN(ROUND(Supuestos!$F$12*(1+DD$53)*$N87,0),IF(Supuestos!$C$72&gt;0,Supuestos!$C$72-DD86+MIN(DD86,ROUND(DD86*Supuestos!$C$71*Supuestos!$F$13,0)),ROUND(Supuestos!$F$12*(1+DD$53)*$N87,0))))</f>
        <v>30</v>
      </c>
      <c r="DF87" s="124">
        <f t="shared" si="46"/>
        <v>13396.008053127985</v>
      </c>
      <c r="DG87" s="124">
        <f t="shared" si="47"/>
        <v>1</v>
      </c>
      <c r="DH87" s="124">
        <f>DH86+DI87-MIN(DH86,ROUND(DH86*Supuestos!$C$71*Supuestos!$F$13,0))</f>
        <v>798</v>
      </c>
      <c r="DI87" s="124">
        <f>MAX(0,MIN(ROUND(Supuestos!$F$12*(1+DH$53)*$N87,0),IF(Supuestos!$C$72&gt;0,Supuestos!$C$72-DH86+MIN(DH86,ROUND(DH86*Supuestos!$C$71*Supuestos!$F$13,0)),ROUND(Supuestos!$F$12*(1+DH$53)*$N87,0))))</f>
        <v>30</v>
      </c>
      <c r="DJ87" s="124">
        <f t="shared" si="48"/>
        <v>14917.49922723999</v>
      </c>
      <c r="DK87" s="124">
        <f t="shared" si="49"/>
        <v>1</v>
      </c>
      <c r="DL87" s="124">
        <f>DL86+DM87-MIN(DL86,ROUND(DL86*Supuestos!$C$71*Supuestos!$F$13,0))</f>
        <v>798</v>
      </c>
      <c r="DM87" s="124">
        <f>MAX(0,MIN(ROUND(Supuestos!$F$12*(1+DL$53)*$N87,0),IF(Supuestos!$C$72&gt;0,Supuestos!$C$72-DL86+MIN(DL86,ROUND(DL86*Supuestos!$C$71*Supuestos!$F$13,0)),ROUND(Supuestos!$F$12*(1+DL$53)*$N87,0))))</f>
        <v>30</v>
      </c>
      <c r="DN87" s="124">
        <f t="shared" si="50"/>
        <v>16438.990401351992</v>
      </c>
      <c r="DO87" s="124">
        <f t="shared" si="51"/>
        <v>1</v>
      </c>
      <c r="DP87" s="124">
        <f>DP86+DQ87-MIN(DP86,ROUND(DP86*Supuestos!$C$71*Supuestos!$F$13,0))</f>
        <v>798</v>
      </c>
      <c r="DQ87" s="124">
        <f>MAX(0,MIN(ROUND(Supuestos!$F$12*(1+DP$53)*$N87,0),IF(Supuestos!$C$72&gt;0,Supuestos!$C$72-DP86+MIN(DP86,ROUND(DP86*Supuestos!$C$71*Supuestos!$F$13,0)),ROUND(Supuestos!$F$12*(1+DP$53)*$N87,0))))</f>
        <v>30</v>
      </c>
      <c r="DR87" s="124">
        <f t="shared" si="52"/>
        <v>17960.481575463993</v>
      </c>
      <c r="DS87" s="124">
        <f t="shared" si="53"/>
        <v>1</v>
      </c>
    </row>
    <row r="88" spans="2:123" ht="13.5" customHeight="1" x14ac:dyDescent="0.2">
      <c r="B88" s="7" t="str">
        <f>"Mes 33  ·  "&amp;CHOOSE(MONTH(DATE(YEAR(Supuestos!$C$8),MONTH(Supuestos!$C$8)+(33)-1,1)),"ene","feb","mar","abr","may","jun","jul","ago","sep","oct","nov","dic")&amp;" "&amp;YEAR(DATE(YEAR(Supuestos!$C$8),MONTH(Supuestos!$C$8)+(33)-1,1))</f>
        <v>Mes 33  ·  may 2030</v>
      </c>
      <c r="C88" s="74">
        <f>'Previsión 36 meses'!$K$90</f>
        <v>665</v>
      </c>
      <c r="D88" s="72">
        <f t="shared" si="55"/>
        <v>449</v>
      </c>
      <c r="E88" s="59">
        <f>'Previsión 36 meses'!$K$95</f>
        <v>30034.153837499998</v>
      </c>
      <c r="F88" s="59">
        <f>'Previsión 36 meses'!$K$107+'Previsión 36 meses'!$K$111</f>
        <v>20667.137314800006</v>
      </c>
      <c r="G88" s="59">
        <f>'Previsión 36 meses'!$K$112</f>
        <v>9367.0165226999943</v>
      </c>
      <c r="H88" s="59">
        <f>'Previsión 36 meses'!$K$118</f>
        <v>7039.8827485957645</v>
      </c>
      <c r="I88" s="76">
        <f>'Previsión 36 meses'!$K$119</f>
        <v>107137.95484976564</v>
      </c>
      <c r="J88" s="59">
        <f t="shared" si="3"/>
        <v>120670.56675057985</v>
      </c>
      <c r="M88" s="119">
        <v>33</v>
      </c>
      <c r="N88" s="123">
        <f>IF($M88&lt;=12,INDEX(Supuestos!$C$55:$C$66,$M88)+IF($M88=1,Supuestos!$C$52,0),IF($M88&lt;=24,Supuestos!$C$69,Supuestos!$C$70)*IFERROR(INDEX(Supuestos!$C$55:$C$66,MOD($M88-1,12)+1)/AVERAGE(Supuestos!$C$55:$C$66),1))</f>
        <v>24.601366742596809</v>
      </c>
      <c r="O88" s="123">
        <f>Supuestos!$C$45*Supuestos!$F$14*(1+Supuestos!$C$112)^INT(($M88-1)/12)*(1-Supuestos!$C$98)</f>
        <v>38.132610879999994</v>
      </c>
      <c r="P88" s="123">
        <f>(Supuestos!$C$48+Supuestos!$C$49)*(1+Supuestos!$C$112)^INT(($M88-1)/12)*(1-Supuestos!$C$98-Supuestos!$C$99)</f>
        <v>2.8198775</v>
      </c>
      <c r="Q88" s="123">
        <f>Supuestos!$C$47*(1+Supuestos!$C$112)^INT(($M88-1)/12)*(1-Supuestos!$C$98)</f>
        <v>20.760349999999999</v>
      </c>
      <c r="R88" s="120">
        <f>'Previsión 36 meses'!$K$107</f>
        <v>18385.397000000004</v>
      </c>
      <c r="S88" s="120">
        <f t="shared" si="0"/>
        <v>107137.95484976564</v>
      </c>
      <c r="T88" s="120">
        <f t="shared" si="1"/>
        <v>0</v>
      </c>
      <c r="U88" s="22" t="str">
        <f>CHOOSE(MONTH(DATE(YEAR(Supuestos!$C$8),MONTH(Supuestos!$C$8)+(33)-1,1)),"ene","feb","mar","abr","may","jun","jul","ago","sep","oct","nov","dic")&amp;" "&amp;RIGHT(YEAR(DATE(YEAR(Supuestos!$C$8),MONTH(Supuestos!$C$8)+(33)-1,1)),2)</f>
        <v>may 30</v>
      </c>
      <c r="V88" s="121">
        <f>IF(AND(Supuestos!$C$33&gt;0,J88&gt;=Supuestos!$C$33),1,0)</f>
        <v>0</v>
      </c>
      <c r="X88" s="124">
        <f>X87+Y88-MIN(X87,ROUND(X87*Supuestos!$C$71*Supuestos!$F$13,0))</f>
        <v>532</v>
      </c>
      <c r="Y88" s="124">
        <f>MAX(0,MIN(ROUND(Supuestos!$F$12*(1+X$53)*$N88,0),IF(Supuestos!$C$72&gt;0,Supuestos!$C$72-X87+MIN(X87,ROUND(X87*Supuestos!$C$71*Supuestos!$F$13,0)),ROUND(Supuestos!$F$12*(1+X$53)*$N88,0))))</f>
        <v>20</v>
      </c>
      <c r="Z88" s="124">
        <f t="shared" si="4"/>
        <v>1787.8789193439916</v>
      </c>
      <c r="AA88" s="124">
        <f t="shared" si="5"/>
        <v>1</v>
      </c>
      <c r="AB88" s="124">
        <f>AB87+AC88-MIN(AB87,ROUND(AB87*Supuestos!$C$71*Supuestos!$F$13,0))</f>
        <v>532</v>
      </c>
      <c r="AC88" s="124">
        <f>MAX(0,MIN(ROUND(Supuestos!$F$12*(1+AB$53)*$N88,0),IF(Supuestos!$C$72&gt;0,Supuestos!$C$72-AB87+MIN(AB87,ROUND(AB87*Supuestos!$C$71*Supuestos!$F$13,0)),ROUND(Supuestos!$F$12*(1+AB$53)*$N88,0))))</f>
        <v>20</v>
      </c>
      <c r="AD88" s="124">
        <f t="shared" si="6"/>
        <v>2802.2063687519876</v>
      </c>
      <c r="AE88" s="124">
        <f t="shared" si="7"/>
        <v>1</v>
      </c>
      <c r="AF88" s="124">
        <f>AF87+AG88-MIN(AF87,ROUND(AF87*Supuestos!$C$71*Supuestos!$F$13,0))</f>
        <v>532</v>
      </c>
      <c r="AG88" s="124">
        <f>MAX(0,MIN(ROUND(Supuestos!$F$12*(1+AF$53)*$N88,0),IF(Supuestos!$C$72&gt;0,Supuestos!$C$72-AF87+MIN(AF87,ROUND(AF87*Supuestos!$C$71*Supuestos!$F$13,0)),ROUND(Supuestos!$F$12*(1+AF$53)*$N88,0))))</f>
        <v>20</v>
      </c>
      <c r="AH88" s="124">
        <f t="shared" si="8"/>
        <v>3816.5338181599909</v>
      </c>
      <c r="AI88" s="124">
        <f t="shared" si="9"/>
        <v>1</v>
      </c>
      <c r="AJ88" s="124">
        <f>AJ87+AK88-MIN(AJ87,ROUND(AJ87*Supuestos!$C$71*Supuestos!$F$13,0))</f>
        <v>532</v>
      </c>
      <c r="AK88" s="124">
        <f>MAX(0,MIN(ROUND(Supuestos!$F$12*(1+AJ$53)*$N88,0),IF(Supuestos!$C$72&gt;0,Supuestos!$C$72-AJ87+MIN(AJ87,ROUND(AJ87*Supuestos!$C$71*Supuestos!$F$13,0)),ROUND(Supuestos!$F$12*(1+AJ$53)*$N88,0))))</f>
        <v>20</v>
      </c>
      <c r="AL88" s="124">
        <f t="shared" si="10"/>
        <v>4830.8612675679906</v>
      </c>
      <c r="AM88" s="124">
        <f t="shared" si="11"/>
        <v>1</v>
      </c>
      <c r="AN88" s="124">
        <f>AN87+AO88-MIN(AN87,ROUND(AN87*Supuestos!$C$71*Supuestos!$F$13,0))</f>
        <v>532</v>
      </c>
      <c r="AO88" s="124">
        <f>MAX(0,MIN(ROUND(Supuestos!$F$12*(1+AN$53)*$N88,0),IF(Supuestos!$C$72&gt;0,Supuestos!$C$72-AN87+MIN(AN87,ROUND(AN87*Supuestos!$C$71*Supuestos!$F$13,0)),ROUND(Supuestos!$F$12*(1+AN$53)*$N88,0))))</f>
        <v>20</v>
      </c>
      <c r="AP88" s="124">
        <f t="shared" si="12"/>
        <v>5845.1887169759902</v>
      </c>
      <c r="AQ88" s="124">
        <f t="shared" si="13"/>
        <v>1</v>
      </c>
      <c r="AR88" s="124">
        <f>AR87+AS88-MIN(AR87,ROUND(AR87*Supuestos!$C$71*Supuestos!$F$13,0))</f>
        <v>597</v>
      </c>
      <c r="AS88" s="124">
        <f>MAX(0,MIN(ROUND(Supuestos!$F$12*(1+AR$53)*$N88,0),IF(Supuestos!$C$72&gt;0,Supuestos!$C$72-AR87+MIN(AR87,ROUND(AR87*Supuestos!$C$71*Supuestos!$F$13,0)),ROUND(Supuestos!$F$12*(1+AR$53)*$N88,0))))</f>
        <v>22</v>
      </c>
      <c r="AT88" s="124">
        <f t="shared" si="14"/>
        <v>4243.4493933239901</v>
      </c>
      <c r="AU88" s="124">
        <f t="shared" si="15"/>
        <v>1</v>
      </c>
      <c r="AV88" s="124">
        <f>AV87+AW88-MIN(AV87,ROUND(AV87*Supuestos!$C$71*Supuestos!$F$13,0))</f>
        <v>597</v>
      </c>
      <c r="AW88" s="124">
        <f>MAX(0,MIN(ROUND(Supuestos!$F$12*(1+AV$53)*$N88,0),IF(Supuestos!$C$72&gt;0,Supuestos!$C$72-AV87+MIN(AV87,ROUND(AV87*Supuestos!$C$71*Supuestos!$F$13,0)),ROUND(Supuestos!$F$12*(1+AV$53)*$N88,0))))</f>
        <v>22</v>
      </c>
      <c r="AX88" s="124">
        <f t="shared" si="16"/>
        <v>5381.7078280919886</v>
      </c>
      <c r="AY88" s="124">
        <f t="shared" si="17"/>
        <v>1</v>
      </c>
      <c r="AZ88" s="124">
        <f>AZ87+BA88-MIN(AZ87,ROUND(AZ87*Supuestos!$C$71*Supuestos!$F$13,0))</f>
        <v>597</v>
      </c>
      <c r="BA88" s="124">
        <f>MAX(0,MIN(ROUND(Supuestos!$F$12*(1+AZ$53)*$N88,0),IF(Supuestos!$C$72&gt;0,Supuestos!$C$72-AZ87+MIN(AZ87,ROUND(AZ87*Supuestos!$C$71*Supuestos!$F$13,0)),ROUND(Supuestos!$F$12*(1+AZ$53)*$N88,0))))</f>
        <v>22</v>
      </c>
      <c r="BB88" s="124">
        <f t="shared" si="18"/>
        <v>6519.9662628599908</v>
      </c>
      <c r="BC88" s="124">
        <f t="shared" si="19"/>
        <v>1</v>
      </c>
      <c r="BD88" s="124">
        <f>BD87+BE88-MIN(BD87,ROUND(BD87*Supuestos!$C$71*Supuestos!$F$13,0))</f>
        <v>597</v>
      </c>
      <c r="BE88" s="124">
        <f>MAX(0,MIN(ROUND(Supuestos!$F$12*(1+BD$53)*$N88,0),IF(Supuestos!$C$72&gt;0,Supuestos!$C$72-BD87+MIN(BD87,ROUND(BD87*Supuestos!$C$71*Supuestos!$F$13,0)),ROUND(Supuestos!$F$12*(1+BD$53)*$N88,0))))</f>
        <v>22</v>
      </c>
      <c r="BF88" s="124">
        <f t="shared" si="20"/>
        <v>7658.2246976279894</v>
      </c>
      <c r="BG88" s="124">
        <f t="shared" si="21"/>
        <v>1</v>
      </c>
      <c r="BH88" s="124">
        <f>BH87+BI88-MIN(BH87,ROUND(BH87*Supuestos!$C$71*Supuestos!$F$13,0))</f>
        <v>597</v>
      </c>
      <c r="BI88" s="124">
        <f>MAX(0,MIN(ROUND(Supuestos!$F$12*(1+BH$53)*$N88,0),IF(Supuestos!$C$72&gt;0,Supuestos!$C$72-BH87+MIN(BH87,ROUND(BH87*Supuestos!$C$71*Supuestos!$F$13,0)),ROUND(Supuestos!$F$12*(1+BH$53)*$N88,0))))</f>
        <v>22</v>
      </c>
      <c r="BJ88" s="124">
        <f t="shared" si="22"/>
        <v>8796.4831323959916</v>
      </c>
      <c r="BK88" s="124">
        <f t="shared" si="23"/>
        <v>1</v>
      </c>
      <c r="BL88" s="124">
        <f>BL87+BM88-MIN(BL87,ROUND(BL87*Supuestos!$C$71*Supuestos!$F$13,0))</f>
        <v>665</v>
      </c>
      <c r="BM88" s="124">
        <f>MAX(0,MIN(ROUND(Supuestos!$F$12*(1+BL$53)*$N88,0),IF(Supuestos!$C$72&gt;0,Supuestos!$C$72-BL87+MIN(BL87,ROUND(BL87*Supuestos!$C$71*Supuestos!$F$13,0)),ROUND(Supuestos!$F$12*(1+BL$53)*$N88,0))))</f>
        <v>25</v>
      </c>
      <c r="BN88" s="124">
        <f t="shared" si="24"/>
        <v>6831.1978991799915</v>
      </c>
      <c r="BO88" s="124">
        <f t="shared" si="25"/>
        <v>1</v>
      </c>
      <c r="BP88" s="124">
        <f>BP87+BQ88-MIN(BP87,ROUND(BP87*Supuestos!$C$71*Supuestos!$F$13,0))</f>
        <v>665</v>
      </c>
      <c r="BQ88" s="124">
        <f>MAX(0,MIN(ROUND(Supuestos!$F$12*(1+BP$53)*$N88,0),IF(Supuestos!$C$72&gt;0,Supuestos!$C$72-BP87+MIN(BP87,ROUND(BP87*Supuestos!$C$71*Supuestos!$F$13,0)),ROUND(Supuestos!$F$12*(1+BP$53)*$N88,0))))</f>
        <v>25</v>
      </c>
      <c r="BR88" s="124">
        <f t="shared" si="26"/>
        <v>8099.1072109399902</v>
      </c>
      <c r="BS88" s="124">
        <f t="shared" si="27"/>
        <v>1</v>
      </c>
      <c r="BT88" s="124">
        <f>BT87+BU88-MIN(BT87,ROUND(BT87*Supuestos!$C$71*Supuestos!$F$13,0))</f>
        <v>665</v>
      </c>
      <c r="BU88" s="124">
        <f>MAX(0,MIN(ROUND(Supuestos!$F$12*(1+BT$53)*$N88,0),IF(Supuestos!$C$72&gt;0,Supuestos!$C$72-BT87+MIN(BT87,ROUND(BT87*Supuestos!$C$71*Supuestos!$F$13,0)),ROUND(Supuestos!$F$12*(1+BT$53)*$N88,0))))</f>
        <v>25</v>
      </c>
      <c r="BV88" s="124">
        <f t="shared" si="28"/>
        <v>9367.0165226999889</v>
      </c>
      <c r="BW88" s="124">
        <f t="shared" si="29"/>
        <v>1</v>
      </c>
      <c r="BX88" s="124">
        <f>BX87+BY88-MIN(BX87,ROUND(BX87*Supuestos!$C$71*Supuestos!$F$13,0))</f>
        <v>665</v>
      </c>
      <c r="BY88" s="124">
        <f>MAX(0,MIN(ROUND(Supuestos!$F$12*(1+BX$53)*$N88,0),IF(Supuestos!$C$72&gt;0,Supuestos!$C$72-BX87+MIN(BX87,ROUND(BX87*Supuestos!$C$71*Supuestos!$F$13,0)),ROUND(Supuestos!$F$12*(1+BX$53)*$N88,0))))</f>
        <v>25</v>
      </c>
      <c r="BZ88" s="124">
        <f t="shared" si="30"/>
        <v>10634.925834459991</v>
      </c>
      <c r="CA88" s="124">
        <f t="shared" si="31"/>
        <v>1</v>
      </c>
      <c r="CB88" s="124">
        <f>CB87+CC88-MIN(CB87,ROUND(CB87*Supuestos!$C$71*Supuestos!$F$13,0))</f>
        <v>665</v>
      </c>
      <c r="CC88" s="124">
        <f>MAX(0,MIN(ROUND(Supuestos!$F$12*(1+CB$53)*$N88,0),IF(Supuestos!$C$72&gt;0,Supuestos!$C$72-CB87+MIN(CB87,ROUND(CB87*Supuestos!$C$71*Supuestos!$F$13,0)),ROUND(Supuestos!$F$12*(1+CB$53)*$N88,0))))</f>
        <v>25</v>
      </c>
      <c r="CD88" s="124">
        <f t="shared" si="32"/>
        <v>11902.835146219993</v>
      </c>
      <c r="CE88" s="124">
        <f t="shared" si="33"/>
        <v>1</v>
      </c>
      <c r="CF88" s="124">
        <f>CF87+CG88-MIN(CF87,ROUND(CF87*Supuestos!$C$71*Supuestos!$F$13,0))</f>
        <v>733</v>
      </c>
      <c r="CG88" s="124">
        <f>MAX(0,MIN(ROUND(Supuestos!$F$12*(1+CF$53)*$N88,0),IF(Supuestos!$C$72&gt;0,Supuestos!$C$72-CF87+MIN(CF87,ROUND(CF87*Supuestos!$C$71*Supuestos!$F$13,0)),ROUND(Supuestos!$F$12*(1+CF$53)*$N88,0))))</f>
        <v>27</v>
      </c>
      <c r="CH88" s="124">
        <f t="shared" si="34"/>
        <v>9398.1860550359925</v>
      </c>
      <c r="CI88" s="124">
        <f t="shared" si="35"/>
        <v>1</v>
      </c>
      <c r="CJ88" s="124">
        <f>CJ87+CK88-MIN(CJ87,ROUND(CJ87*Supuestos!$C$71*Supuestos!$F$13,0))</f>
        <v>733</v>
      </c>
      <c r="CK88" s="124">
        <f>MAX(0,MIN(ROUND(Supuestos!$F$12*(1+CJ$53)*$N88,0),IF(Supuestos!$C$72&gt;0,Supuestos!$C$72-CJ87+MIN(CJ87,ROUND(CJ87*Supuestos!$C$71*Supuestos!$F$13,0)),ROUND(Supuestos!$F$12*(1+CJ$53)*$N88,0))))</f>
        <v>27</v>
      </c>
      <c r="CL88" s="124">
        <f t="shared" si="36"/>
        <v>10795.746243787988</v>
      </c>
      <c r="CM88" s="124">
        <f t="shared" si="37"/>
        <v>1</v>
      </c>
      <c r="CN88" s="124">
        <f>CN87+CO88-MIN(CN87,ROUND(CN87*Supuestos!$C$71*Supuestos!$F$13,0))</f>
        <v>733</v>
      </c>
      <c r="CO88" s="124">
        <f>MAX(0,MIN(ROUND(Supuestos!$F$12*(1+CN$53)*$N88,0),IF(Supuestos!$C$72&gt;0,Supuestos!$C$72-CN87+MIN(CN87,ROUND(CN87*Supuestos!$C$71*Supuestos!$F$13,0)),ROUND(Supuestos!$F$12*(1+CN$53)*$N88,0))))</f>
        <v>27</v>
      </c>
      <c r="CP88" s="124">
        <f t="shared" si="38"/>
        <v>12193.30643253999</v>
      </c>
      <c r="CQ88" s="124">
        <f t="shared" si="39"/>
        <v>1</v>
      </c>
      <c r="CR88" s="124">
        <f>CR87+CS88-MIN(CR87,ROUND(CR87*Supuestos!$C$71*Supuestos!$F$13,0))</f>
        <v>733</v>
      </c>
      <c r="CS88" s="124">
        <f>MAX(0,MIN(ROUND(Supuestos!$F$12*(1+CR$53)*$N88,0),IF(Supuestos!$C$72&gt;0,Supuestos!$C$72-CR87+MIN(CR87,ROUND(CR87*Supuestos!$C$71*Supuestos!$F$13,0)),ROUND(Supuestos!$F$12*(1+CR$53)*$N88,0))))</f>
        <v>27</v>
      </c>
      <c r="CT88" s="124">
        <f t="shared" si="40"/>
        <v>13590.866621291992</v>
      </c>
      <c r="CU88" s="124">
        <f t="shared" si="41"/>
        <v>1</v>
      </c>
      <c r="CV88" s="124">
        <f>CV87+CW88-MIN(CV87,ROUND(CV87*Supuestos!$C$71*Supuestos!$F$13,0))</f>
        <v>733</v>
      </c>
      <c r="CW88" s="124">
        <f>MAX(0,MIN(ROUND(Supuestos!$F$12*(1+CV$53)*$N88,0),IF(Supuestos!$C$72&gt;0,Supuestos!$C$72-CV87+MIN(CV87,ROUND(CV87*Supuestos!$C$71*Supuestos!$F$13,0)),ROUND(Supuestos!$F$12*(1+CV$53)*$N88,0))))</f>
        <v>27</v>
      </c>
      <c r="CX88" s="124">
        <f t="shared" si="42"/>
        <v>14988.426810043995</v>
      </c>
      <c r="CY88" s="124">
        <f t="shared" si="43"/>
        <v>1</v>
      </c>
      <c r="CZ88" s="124">
        <f>CZ87+DA88-MIN(CZ87,ROUND(CZ87*Supuestos!$C$71*Supuestos!$F$13,0))</f>
        <v>796</v>
      </c>
      <c r="DA88" s="124">
        <f>MAX(0,MIN(ROUND(Supuestos!$F$12*(1+CZ$53)*$N88,0),IF(Supuestos!$C$72&gt;0,Supuestos!$C$72-CZ87+MIN(CZ87,ROUND(CZ87*Supuestos!$C$71*Supuestos!$F$13,0)),ROUND(Supuestos!$F$12*(1+CZ$53)*$N88,0))))</f>
        <v>30</v>
      </c>
      <c r="DB88" s="124">
        <f t="shared" si="44"/>
        <v>11800.238424431991</v>
      </c>
      <c r="DC88" s="124">
        <f t="shared" si="45"/>
        <v>1</v>
      </c>
      <c r="DD88" s="124">
        <f>DD87+DE88-MIN(DD87,ROUND(DD87*Supuestos!$C$71*Supuestos!$F$13,0))</f>
        <v>796</v>
      </c>
      <c r="DE88" s="124">
        <f>MAX(0,MIN(ROUND(Supuestos!$F$12*(1+DD$53)*$N88,0),IF(Supuestos!$C$72&gt;0,Supuestos!$C$72-DD87+MIN(DD87,ROUND(DD87*Supuestos!$C$71*Supuestos!$F$13,0)),ROUND(Supuestos!$F$12*(1+DD$53)*$N88,0))))</f>
        <v>30</v>
      </c>
      <c r="DF88" s="124">
        <f t="shared" si="46"/>
        <v>13317.916337455987</v>
      </c>
      <c r="DG88" s="124">
        <f t="shared" si="47"/>
        <v>1</v>
      </c>
      <c r="DH88" s="124">
        <f>DH87+DI88-MIN(DH87,ROUND(DH87*Supuestos!$C$71*Supuestos!$F$13,0))</f>
        <v>796</v>
      </c>
      <c r="DI88" s="124">
        <f>MAX(0,MIN(ROUND(Supuestos!$F$12*(1+DH$53)*$N88,0),IF(Supuestos!$C$72&gt;0,Supuestos!$C$72-DH87+MIN(DH87,ROUND(DH87*Supuestos!$C$71*Supuestos!$F$13,0)),ROUND(Supuestos!$F$12*(1+DH$53)*$N88,0))))</f>
        <v>30</v>
      </c>
      <c r="DJ88" s="124">
        <f t="shared" si="48"/>
        <v>14835.59425047999</v>
      </c>
      <c r="DK88" s="124">
        <f t="shared" si="49"/>
        <v>1</v>
      </c>
      <c r="DL88" s="124">
        <f>DL87+DM88-MIN(DL87,ROUND(DL87*Supuestos!$C$71*Supuestos!$F$13,0))</f>
        <v>796</v>
      </c>
      <c r="DM88" s="124">
        <f>MAX(0,MIN(ROUND(Supuestos!$F$12*(1+DL$53)*$N88,0),IF(Supuestos!$C$72&gt;0,Supuestos!$C$72-DL87+MIN(DL87,ROUND(DL87*Supuestos!$C$71*Supuestos!$F$13,0)),ROUND(Supuestos!$F$12*(1+DL$53)*$N88,0))))</f>
        <v>30</v>
      </c>
      <c r="DN88" s="124">
        <f t="shared" si="50"/>
        <v>16353.272163503992</v>
      </c>
      <c r="DO88" s="124">
        <f t="shared" si="51"/>
        <v>1</v>
      </c>
      <c r="DP88" s="124">
        <f>DP87+DQ88-MIN(DP87,ROUND(DP87*Supuestos!$C$71*Supuestos!$F$13,0))</f>
        <v>796</v>
      </c>
      <c r="DQ88" s="124">
        <f>MAX(0,MIN(ROUND(Supuestos!$F$12*(1+DP$53)*$N88,0),IF(Supuestos!$C$72&gt;0,Supuestos!$C$72-DP87+MIN(DP87,ROUND(DP87*Supuestos!$C$71*Supuestos!$F$13,0)),ROUND(Supuestos!$F$12*(1+DP$53)*$N88,0))))</f>
        <v>30</v>
      </c>
      <c r="DR88" s="124">
        <f t="shared" si="52"/>
        <v>17870.950076527988</v>
      </c>
      <c r="DS88" s="124">
        <f t="shared" si="53"/>
        <v>1</v>
      </c>
    </row>
    <row r="89" spans="2:123" ht="13.5" customHeight="1" x14ac:dyDescent="0.2">
      <c r="B89" s="7" t="str">
        <f>"Mes 34  ·  "&amp;CHOOSE(MONTH(DATE(YEAR(Supuestos!$C$8),MONTH(Supuestos!$C$8)+(34)-1,1)),"ene","feb","mar","abr","may","jun","jul","ago","sep","oct","nov","dic")&amp;" "&amp;YEAR(DATE(YEAR(Supuestos!$C$8),MONTH(Supuestos!$C$8)+(34)-1,1))</f>
        <v>Mes 34  ·  jun 2030</v>
      </c>
      <c r="C89" s="74">
        <f>'Previsión 36 meses'!$L$90</f>
        <v>656</v>
      </c>
      <c r="D89" s="72">
        <f t="shared" si="55"/>
        <v>449</v>
      </c>
      <c r="E89" s="59">
        <f>'Previsión 36 meses'!$L$95</f>
        <v>29487.698559999993</v>
      </c>
      <c r="F89" s="59">
        <f>'Previsión 36 meses'!$L$107+'Previsión 36 meses'!$L$111</f>
        <v>20634.576882720005</v>
      </c>
      <c r="G89" s="59">
        <f>'Previsión 36 meses'!$L$112</f>
        <v>8853.1216772799889</v>
      </c>
      <c r="H89" s="59">
        <f>'Previsión 36 meses'!$L$118</f>
        <v>6525.9879031757591</v>
      </c>
      <c r="I89" s="76">
        <f>'Previsión 36 meses'!$L$119</f>
        <v>113663.9427529414</v>
      </c>
      <c r="J89" s="59">
        <f t="shared" si="3"/>
        <v>129523.68842785983</v>
      </c>
      <c r="M89" s="119">
        <v>34</v>
      </c>
      <c r="N89" s="123">
        <f>IF($M89&lt;=12,INDEX(Supuestos!$C$55:$C$66,$M89)+IF($M89=1,Supuestos!$C$52,0),IF($M89&lt;=24,Supuestos!$C$69,Supuestos!$C$70)*IFERROR(INDEX(Supuestos!$C$55:$C$66,MOD($M89-1,12)+1)/AVERAGE(Supuestos!$C$55:$C$66),1))</f>
        <v>18.041002277904326</v>
      </c>
      <c r="O89" s="123">
        <f>Supuestos!$C$45*Supuestos!$F$14*(1+Supuestos!$C$112)^INT(($M89-1)/12)*(1-Supuestos!$C$98)</f>
        <v>38.132610879999994</v>
      </c>
      <c r="P89" s="123">
        <f>(Supuestos!$C$48+Supuestos!$C$49)*(1+Supuestos!$C$112)^INT(($M89-1)/12)*(1-Supuestos!$C$98-Supuestos!$C$99)</f>
        <v>2.8198775</v>
      </c>
      <c r="Q89" s="123">
        <f>Supuestos!$C$47*(1+Supuestos!$C$112)^INT(($M89-1)/12)*(1-Supuestos!$C$98)</f>
        <v>20.760349999999999</v>
      </c>
      <c r="R89" s="120">
        <f>'Previsión 36 meses'!$L$107</f>
        <v>18385.397000000004</v>
      </c>
      <c r="S89" s="120">
        <f t="shared" si="0"/>
        <v>113663.9427529414</v>
      </c>
      <c r="T89" s="120">
        <f t="shared" si="1"/>
        <v>0</v>
      </c>
      <c r="U89" s="22" t="str">
        <f>CHOOSE(MONTH(DATE(YEAR(Supuestos!$C$8),MONTH(Supuestos!$C$8)+(34)-1,1)),"ene","feb","mar","abr","may","jun","jul","ago","sep","oct","nov","dic")&amp;" "&amp;RIGHT(YEAR(DATE(YEAR(Supuestos!$C$8),MONTH(Supuestos!$C$8)+(34)-1,1)),2)</f>
        <v>jun 30</v>
      </c>
      <c r="V89" s="121">
        <f>IF(AND(Supuestos!$C$33&gt;0,J89&gt;=Supuestos!$C$33),1,0)</f>
        <v>0</v>
      </c>
      <c r="X89" s="124">
        <f>X88+Y89-MIN(X88,ROUND(X88*Supuestos!$C$71*Supuestos!$F$13,0))</f>
        <v>525</v>
      </c>
      <c r="Y89" s="124">
        <f>MAX(0,MIN(ROUND(Supuestos!$F$12*(1+X$53)*$N89,0),IF(Supuestos!$C$72&gt;0,Supuestos!$C$72-X88+MIN(X88,ROUND(X88*Supuestos!$C$71*Supuestos!$F$13,0)),ROUND(Supuestos!$F$12*(1+X$53)*$N89,0))))</f>
        <v>14</v>
      </c>
      <c r="Z89" s="124">
        <f t="shared" si="4"/>
        <v>1403.3422282999927</v>
      </c>
      <c r="AA89" s="124">
        <f t="shared" si="5"/>
        <v>1</v>
      </c>
      <c r="AB89" s="124">
        <f>AB88+AC89-MIN(AB88,ROUND(AB88*Supuestos!$C$71*Supuestos!$F$13,0))</f>
        <v>525</v>
      </c>
      <c r="AC89" s="124">
        <f>MAX(0,MIN(ROUND(Supuestos!$F$12*(1+AB$53)*$N89,0),IF(Supuestos!$C$72&gt;0,Supuestos!$C$72-AB88+MIN(AB88,ROUND(AB88*Supuestos!$C$71*Supuestos!$F$13,0)),ROUND(Supuestos!$F$12*(1+AB$53)*$N89,0))))</f>
        <v>14</v>
      </c>
      <c r="AD89" s="124">
        <f t="shared" si="6"/>
        <v>2404.3232638999907</v>
      </c>
      <c r="AE89" s="124">
        <f t="shared" si="7"/>
        <v>1</v>
      </c>
      <c r="AF89" s="124">
        <f>AF88+AG89-MIN(AF88,ROUND(AF88*Supuestos!$C$71*Supuestos!$F$13,0))</f>
        <v>525</v>
      </c>
      <c r="AG89" s="124">
        <f>MAX(0,MIN(ROUND(Supuestos!$F$12*(1+AF$53)*$N89,0),IF(Supuestos!$C$72&gt;0,Supuestos!$C$72-AF88+MIN(AF88,ROUND(AF88*Supuestos!$C$71*Supuestos!$F$13,0)),ROUND(Supuestos!$F$12*(1+AF$53)*$N89,0))))</f>
        <v>14</v>
      </c>
      <c r="AH89" s="124">
        <f t="shared" si="8"/>
        <v>3405.3042994999887</v>
      </c>
      <c r="AI89" s="124">
        <f t="shared" si="9"/>
        <v>1</v>
      </c>
      <c r="AJ89" s="124">
        <f>AJ88+AK89-MIN(AJ88,ROUND(AJ88*Supuestos!$C$71*Supuestos!$F$13,0))</f>
        <v>525</v>
      </c>
      <c r="AK89" s="124">
        <f>MAX(0,MIN(ROUND(Supuestos!$F$12*(1+AJ$53)*$N89,0),IF(Supuestos!$C$72&gt;0,Supuestos!$C$72-AJ88+MIN(AJ88,ROUND(AJ88*Supuestos!$C$71*Supuestos!$F$13,0)),ROUND(Supuestos!$F$12*(1+AJ$53)*$N89,0))))</f>
        <v>14</v>
      </c>
      <c r="AL89" s="124">
        <f t="shared" si="10"/>
        <v>4406.2853350999903</v>
      </c>
      <c r="AM89" s="124">
        <f t="shared" si="11"/>
        <v>1</v>
      </c>
      <c r="AN89" s="124">
        <f>AN88+AO89-MIN(AN88,ROUND(AN88*Supuestos!$C$71*Supuestos!$F$13,0))</f>
        <v>525</v>
      </c>
      <c r="AO89" s="124">
        <f>MAX(0,MIN(ROUND(Supuestos!$F$12*(1+AN$53)*$N89,0),IF(Supuestos!$C$72&gt;0,Supuestos!$C$72-AN88+MIN(AN88,ROUND(AN88*Supuestos!$C$71*Supuestos!$F$13,0)),ROUND(Supuestos!$F$12*(1+AN$53)*$N89,0))))</f>
        <v>14</v>
      </c>
      <c r="AP89" s="124">
        <f t="shared" si="12"/>
        <v>5407.266370699992</v>
      </c>
      <c r="AQ89" s="124">
        <f t="shared" si="13"/>
        <v>1</v>
      </c>
      <c r="AR89" s="124">
        <f>AR88+AS89-MIN(AR88,ROUND(AR88*Supuestos!$C$71*Supuestos!$F$13,0))</f>
        <v>589</v>
      </c>
      <c r="AS89" s="124">
        <f>MAX(0,MIN(ROUND(Supuestos!$F$12*(1+AR$53)*$N89,0),IF(Supuestos!$C$72&gt;0,Supuestos!$C$72-AR88+MIN(AR88,ROUND(AR88*Supuestos!$C$71*Supuestos!$F$13,0)),ROUND(Supuestos!$F$12*(1+AR$53)*$N89,0))))</f>
        <v>16</v>
      </c>
      <c r="AT89" s="124">
        <f t="shared" si="14"/>
        <v>3821.7734749879928</v>
      </c>
      <c r="AU89" s="124">
        <f t="shared" si="15"/>
        <v>1</v>
      </c>
      <c r="AV89" s="124">
        <f>AV88+AW89-MIN(AV88,ROUND(AV88*Supuestos!$C$71*Supuestos!$F$13,0))</f>
        <v>589</v>
      </c>
      <c r="AW89" s="124">
        <f>MAX(0,MIN(ROUND(Supuestos!$F$12*(1+AV$53)*$N89,0),IF(Supuestos!$C$72&gt;0,Supuestos!$C$72-AV88+MIN(AV88,ROUND(AV88*Supuestos!$C$71*Supuestos!$F$13,0)),ROUND(Supuestos!$F$12*(1+AV$53)*$N89,0))))</f>
        <v>16</v>
      </c>
      <c r="AX89" s="124">
        <f t="shared" si="16"/>
        <v>4944.7788654039905</v>
      </c>
      <c r="AY89" s="124">
        <f t="shared" si="17"/>
        <v>1</v>
      </c>
      <c r="AZ89" s="124">
        <f>AZ88+BA89-MIN(AZ88,ROUND(AZ88*Supuestos!$C$71*Supuestos!$F$13,0))</f>
        <v>589</v>
      </c>
      <c r="BA89" s="124">
        <f>MAX(0,MIN(ROUND(Supuestos!$F$12*(1+AZ$53)*$N89,0),IF(Supuestos!$C$72&gt;0,Supuestos!$C$72-AZ88+MIN(AZ88,ROUND(AZ88*Supuestos!$C$71*Supuestos!$F$13,0)),ROUND(Supuestos!$F$12*(1+AZ$53)*$N89,0))))</f>
        <v>16</v>
      </c>
      <c r="BB89" s="124">
        <f t="shared" si="18"/>
        <v>6067.7842558199918</v>
      </c>
      <c r="BC89" s="124">
        <f t="shared" si="19"/>
        <v>1</v>
      </c>
      <c r="BD89" s="124">
        <f>BD88+BE89-MIN(BD88,ROUND(BD88*Supuestos!$C$71*Supuestos!$F$13,0))</f>
        <v>589</v>
      </c>
      <c r="BE89" s="124">
        <f>MAX(0,MIN(ROUND(Supuestos!$F$12*(1+BD$53)*$N89,0),IF(Supuestos!$C$72&gt;0,Supuestos!$C$72-BD88+MIN(BD88,ROUND(BD88*Supuestos!$C$71*Supuestos!$F$13,0)),ROUND(Supuestos!$F$12*(1+BD$53)*$N89,0))))</f>
        <v>16</v>
      </c>
      <c r="BF89" s="124">
        <f t="shared" si="20"/>
        <v>7190.7896462359931</v>
      </c>
      <c r="BG89" s="124">
        <f t="shared" si="21"/>
        <v>1</v>
      </c>
      <c r="BH89" s="124">
        <f>BH88+BI89-MIN(BH88,ROUND(BH88*Supuestos!$C$71*Supuestos!$F$13,0))</f>
        <v>589</v>
      </c>
      <c r="BI89" s="124">
        <f>MAX(0,MIN(ROUND(Supuestos!$F$12*(1+BH$53)*$N89,0),IF(Supuestos!$C$72&gt;0,Supuestos!$C$72-BH88+MIN(BH88,ROUND(BH88*Supuestos!$C$71*Supuestos!$F$13,0)),ROUND(Supuestos!$F$12*(1+BH$53)*$N89,0))))</f>
        <v>16</v>
      </c>
      <c r="BJ89" s="124">
        <f t="shared" si="22"/>
        <v>8313.7950366519945</v>
      </c>
      <c r="BK89" s="124">
        <f t="shared" si="23"/>
        <v>1</v>
      </c>
      <c r="BL89" s="124">
        <f>BL88+BM89-MIN(BL88,ROUND(BL88*Supuestos!$C$71*Supuestos!$F$13,0))</f>
        <v>656</v>
      </c>
      <c r="BM89" s="124">
        <f>MAX(0,MIN(ROUND(Supuestos!$F$12*(1+BL$53)*$N89,0),IF(Supuestos!$C$72&gt;0,Supuestos!$C$72-BL88+MIN(BL88,ROUND(BL88*Supuestos!$C$71*Supuestos!$F$13,0)),ROUND(Supuestos!$F$12*(1+BL$53)*$N89,0))))</f>
        <v>18</v>
      </c>
      <c r="BN89" s="124">
        <f t="shared" si="24"/>
        <v>6351.6224035519917</v>
      </c>
      <c r="BO89" s="124">
        <f t="shared" si="25"/>
        <v>1</v>
      </c>
      <c r="BP89" s="124">
        <f>BP88+BQ89-MIN(BP88,ROUND(BP88*Supuestos!$C$71*Supuestos!$F$13,0))</f>
        <v>656</v>
      </c>
      <c r="BQ89" s="124">
        <f>MAX(0,MIN(ROUND(Supuestos!$F$12*(1+BP$53)*$N89,0),IF(Supuestos!$C$72&gt;0,Supuestos!$C$72-BP88+MIN(BP88,ROUND(BP88*Supuestos!$C$71*Supuestos!$F$13,0)),ROUND(Supuestos!$F$12*(1+BP$53)*$N89,0))))</f>
        <v>18</v>
      </c>
      <c r="BR89" s="124">
        <f t="shared" si="26"/>
        <v>7602.3720404159903</v>
      </c>
      <c r="BS89" s="124">
        <f t="shared" si="27"/>
        <v>1</v>
      </c>
      <c r="BT89" s="124">
        <f>BT88+BU89-MIN(BT88,ROUND(BT88*Supuestos!$C$71*Supuestos!$F$13,0))</f>
        <v>656</v>
      </c>
      <c r="BU89" s="124">
        <f>MAX(0,MIN(ROUND(Supuestos!$F$12*(1+BT$53)*$N89,0),IF(Supuestos!$C$72&gt;0,Supuestos!$C$72-BT88+MIN(BT88,ROUND(BT88*Supuestos!$C$71*Supuestos!$F$13,0)),ROUND(Supuestos!$F$12*(1+BT$53)*$N89,0))))</f>
        <v>18</v>
      </c>
      <c r="BV89" s="124">
        <f t="shared" si="28"/>
        <v>8853.1216772799926</v>
      </c>
      <c r="BW89" s="124">
        <f t="shared" si="29"/>
        <v>1</v>
      </c>
      <c r="BX89" s="124">
        <f>BX88+BY89-MIN(BX88,ROUND(BX88*Supuestos!$C$71*Supuestos!$F$13,0))</f>
        <v>656</v>
      </c>
      <c r="BY89" s="124">
        <f>MAX(0,MIN(ROUND(Supuestos!$F$12*(1+BX$53)*$N89,0),IF(Supuestos!$C$72&gt;0,Supuestos!$C$72-BX88+MIN(BX88,ROUND(BX88*Supuestos!$C$71*Supuestos!$F$13,0)),ROUND(Supuestos!$F$12*(1+BX$53)*$N89,0))))</f>
        <v>18</v>
      </c>
      <c r="BZ89" s="124">
        <f t="shared" si="30"/>
        <v>10103.871314143991</v>
      </c>
      <c r="CA89" s="124">
        <f t="shared" si="31"/>
        <v>1</v>
      </c>
      <c r="CB89" s="124">
        <f>CB88+CC89-MIN(CB88,ROUND(CB88*Supuestos!$C$71*Supuestos!$F$13,0))</f>
        <v>656</v>
      </c>
      <c r="CC89" s="124">
        <f>MAX(0,MIN(ROUND(Supuestos!$F$12*(1+CB$53)*$N89,0),IF(Supuestos!$C$72&gt;0,Supuestos!$C$72-CB88+MIN(CB88,ROUND(CB88*Supuestos!$C$71*Supuestos!$F$13,0)),ROUND(Supuestos!$F$12*(1+CB$53)*$N89,0))))</f>
        <v>18</v>
      </c>
      <c r="CD89" s="124">
        <f t="shared" si="32"/>
        <v>11354.620951007993</v>
      </c>
      <c r="CE89" s="124">
        <f t="shared" si="33"/>
        <v>1</v>
      </c>
      <c r="CF89" s="124">
        <f>CF88+CG89-MIN(CF88,ROUND(CF88*Supuestos!$C$71*Supuestos!$F$13,0))</f>
        <v>724</v>
      </c>
      <c r="CG89" s="124">
        <f>MAX(0,MIN(ROUND(Supuestos!$F$12*(1+CF$53)*$N89,0),IF(Supuestos!$C$72&gt;0,Supuestos!$C$72-CF88+MIN(CF88,ROUND(CF88*Supuestos!$C$71*Supuestos!$F$13,0)),ROUND(Supuestos!$F$12*(1+CF$53)*$N89,0))))</f>
        <v>20</v>
      </c>
      <c r="CH89" s="124">
        <f t="shared" si="34"/>
        <v>8918.6105594079891</v>
      </c>
      <c r="CI89" s="124">
        <f t="shared" si="35"/>
        <v>1</v>
      </c>
      <c r="CJ89" s="124">
        <f>CJ88+CK89-MIN(CJ88,ROUND(CJ88*Supuestos!$C$71*Supuestos!$F$13,0))</f>
        <v>724</v>
      </c>
      <c r="CK89" s="124">
        <f>MAX(0,MIN(ROUND(Supuestos!$F$12*(1+CJ$53)*$N89,0),IF(Supuestos!$C$72&gt;0,Supuestos!$C$72-CJ88+MIN(CJ88,ROUND(CJ88*Supuestos!$C$71*Supuestos!$F$13,0)),ROUND(Supuestos!$F$12*(1+CJ$53)*$N89,0))))</f>
        <v>20</v>
      </c>
      <c r="CL89" s="124">
        <f t="shared" si="36"/>
        <v>10299.011073263988</v>
      </c>
      <c r="CM89" s="124">
        <f t="shared" si="37"/>
        <v>1</v>
      </c>
      <c r="CN89" s="124">
        <f>CN88+CO89-MIN(CN88,ROUND(CN88*Supuestos!$C$71*Supuestos!$F$13,0))</f>
        <v>724</v>
      </c>
      <c r="CO89" s="124">
        <f>MAX(0,MIN(ROUND(Supuestos!$F$12*(1+CN$53)*$N89,0),IF(Supuestos!$C$72&gt;0,Supuestos!$C$72-CN88+MIN(CN88,ROUND(CN88*Supuestos!$C$71*Supuestos!$F$13,0)),ROUND(Supuestos!$F$12*(1+CN$53)*$N89,0))))</f>
        <v>20</v>
      </c>
      <c r="CP89" s="124">
        <f t="shared" si="38"/>
        <v>11679.411587119987</v>
      </c>
      <c r="CQ89" s="124">
        <f t="shared" si="39"/>
        <v>1</v>
      </c>
      <c r="CR89" s="124">
        <f>CR88+CS89-MIN(CR88,ROUND(CR88*Supuestos!$C$71*Supuestos!$F$13,0))</f>
        <v>724</v>
      </c>
      <c r="CS89" s="124">
        <f>MAX(0,MIN(ROUND(Supuestos!$F$12*(1+CR$53)*$N89,0),IF(Supuestos!$C$72&gt;0,Supuestos!$C$72-CR88+MIN(CR88,ROUND(CR88*Supuestos!$C$71*Supuestos!$F$13,0)),ROUND(Supuestos!$F$12*(1+CR$53)*$N89,0))))</f>
        <v>20</v>
      </c>
      <c r="CT89" s="124">
        <f t="shared" si="40"/>
        <v>13059.812100975989</v>
      </c>
      <c r="CU89" s="124">
        <f t="shared" si="41"/>
        <v>1</v>
      </c>
      <c r="CV89" s="124">
        <f>CV88+CW89-MIN(CV88,ROUND(CV88*Supuestos!$C$71*Supuestos!$F$13,0))</f>
        <v>724</v>
      </c>
      <c r="CW89" s="124">
        <f>MAX(0,MIN(ROUND(Supuestos!$F$12*(1+CV$53)*$N89,0),IF(Supuestos!$C$72&gt;0,Supuestos!$C$72-CV88+MIN(CV88,ROUND(CV88*Supuestos!$C$71*Supuestos!$F$13,0)),ROUND(Supuestos!$F$12*(1+CV$53)*$N89,0))))</f>
        <v>20</v>
      </c>
      <c r="CX89" s="124">
        <f t="shared" si="42"/>
        <v>14440.212614831995</v>
      </c>
      <c r="CY89" s="124">
        <f t="shared" si="43"/>
        <v>1</v>
      </c>
      <c r="CZ89" s="124">
        <f>CZ88+DA89-MIN(CZ88,ROUND(CZ88*Supuestos!$C$71*Supuestos!$F$13,0))</f>
        <v>786</v>
      </c>
      <c r="DA89" s="124">
        <f>MAX(0,MIN(ROUND(Supuestos!$F$12*(1+CZ$53)*$N89,0),IF(Supuestos!$C$72&gt;0,Supuestos!$C$72-CZ88+MIN(CZ88,ROUND(CZ88*Supuestos!$C$71*Supuestos!$F$13,0)),ROUND(Supuestos!$F$12*(1+CZ$53)*$N89,0))))</f>
        <v>22</v>
      </c>
      <c r="DB89" s="124">
        <f t="shared" si="44"/>
        <v>11262.763351511989</v>
      </c>
      <c r="DC89" s="124">
        <f t="shared" si="45"/>
        <v>1</v>
      </c>
      <c r="DD89" s="124">
        <f>DD88+DE89-MIN(DD88,ROUND(DD88*Supuestos!$C$71*Supuestos!$F$13,0))</f>
        <v>786</v>
      </c>
      <c r="DE89" s="124">
        <f>MAX(0,MIN(ROUND(Supuestos!$F$12*(1+DD$53)*$N89,0),IF(Supuestos!$C$72&gt;0,Supuestos!$C$72-DD88+MIN(DD88,ROUND(DD88*Supuestos!$C$71*Supuestos!$F$13,0)),ROUND(Supuestos!$F$12*(1+DD$53)*$N89,0))))</f>
        <v>22</v>
      </c>
      <c r="DF89" s="124">
        <f t="shared" si="46"/>
        <v>12761.374959095985</v>
      </c>
      <c r="DG89" s="124">
        <f t="shared" si="47"/>
        <v>1</v>
      </c>
      <c r="DH89" s="124">
        <f>DH88+DI89-MIN(DH88,ROUND(DH88*Supuestos!$C$71*Supuestos!$F$13,0))</f>
        <v>786</v>
      </c>
      <c r="DI89" s="124">
        <f>MAX(0,MIN(ROUND(Supuestos!$F$12*(1+DH$53)*$N89,0),IF(Supuestos!$C$72&gt;0,Supuestos!$C$72-DH88+MIN(DH88,ROUND(DH88*Supuestos!$C$71*Supuestos!$F$13,0)),ROUND(Supuestos!$F$12*(1+DH$53)*$N89,0))))</f>
        <v>22</v>
      </c>
      <c r="DJ89" s="124">
        <f t="shared" si="48"/>
        <v>14259.986566679989</v>
      </c>
      <c r="DK89" s="124">
        <f t="shared" si="49"/>
        <v>1</v>
      </c>
      <c r="DL89" s="124">
        <f>DL88+DM89-MIN(DL88,ROUND(DL88*Supuestos!$C$71*Supuestos!$F$13,0))</f>
        <v>786</v>
      </c>
      <c r="DM89" s="124">
        <f>MAX(0,MIN(ROUND(Supuestos!$F$12*(1+DL$53)*$N89,0),IF(Supuestos!$C$72&gt;0,Supuestos!$C$72-DL88+MIN(DL88,ROUND(DL88*Supuestos!$C$71*Supuestos!$F$13,0)),ROUND(Supuestos!$F$12*(1+DL$53)*$N89,0))))</f>
        <v>22</v>
      </c>
      <c r="DN89" s="124">
        <f t="shared" si="50"/>
        <v>15758.598174263992</v>
      </c>
      <c r="DO89" s="124">
        <f t="shared" si="51"/>
        <v>1</v>
      </c>
      <c r="DP89" s="124">
        <f>DP88+DQ89-MIN(DP88,ROUND(DP88*Supuestos!$C$71*Supuestos!$F$13,0))</f>
        <v>786</v>
      </c>
      <c r="DQ89" s="124">
        <f>MAX(0,MIN(ROUND(Supuestos!$F$12*(1+DP$53)*$N89,0),IF(Supuestos!$C$72&gt;0,Supuestos!$C$72-DP88+MIN(DP88,ROUND(DP88*Supuestos!$C$71*Supuestos!$F$13,0)),ROUND(Supuestos!$F$12*(1+DP$53)*$N89,0))))</f>
        <v>22</v>
      </c>
      <c r="DR89" s="124">
        <f t="shared" si="52"/>
        <v>17257.209781847996</v>
      </c>
      <c r="DS89" s="124">
        <f t="shared" si="53"/>
        <v>1</v>
      </c>
    </row>
    <row r="90" spans="2:123" ht="13.5" customHeight="1" x14ac:dyDescent="0.2">
      <c r="B90" s="7" t="str">
        <f>"Mes 35  ·  "&amp;CHOOSE(MONTH(DATE(YEAR(Supuestos!$C$8),MONTH(Supuestos!$C$8)+(35)-1,1)),"ene","feb","mar","abr","may","jun","jul","ago","sep","oct","nov","dic")&amp;" "&amp;YEAR(DATE(YEAR(Supuestos!$C$8),MONTH(Supuestos!$C$8)+(35)-1,1))</f>
        <v>Mes 35  ·  jul 2030</v>
      </c>
      <c r="C90" s="74">
        <f>'Previsión 36 meses'!$M$90</f>
        <v>642</v>
      </c>
      <c r="D90" s="72">
        <f t="shared" si="55"/>
        <v>449</v>
      </c>
      <c r="E90" s="59">
        <f>'Previsión 36 meses'!$M$95</f>
        <v>28740.384794999998</v>
      </c>
      <c r="F90" s="59">
        <f>'Previsión 36 meses'!$M$107+'Previsión 36 meses'!$M$111</f>
        <v>20585.160055040003</v>
      </c>
      <c r="G90" s="59">
        <f>'Previsión 36 meses'!$M$112</f>
        <v>8155.2247399599937</v>
      </c>
      <c r="H90" s="59">
        <f>'Previsión 36 meses'!$M$118</f>
        <v>5828.090965855763</v>
      </c>
      <c r="I90" s="76">
        <f>'Previsión 36 meses'!$M$119</f>
        <v>119492.03371879716</v>
      </c>
      <c r="J90" s="59">
        <f t="shared" si="3"/>
        <v>137678.91316781982</v>
      </c>
      <c r="M90" s="119">
        <v>35</v>
      </c>
      <c r="N90" s="123">
        <f>IF($M90&lt;=12,INDEX(Supuestos!$C$55:$C$66,$M90)+IF($M90=1,Supuestos!$C$52,0),IF($M90&lt;=24,Supuestos!$C$69,Supuestos!$C$70)*IFERROR(INDEX(Supuestos!$C$55:$C$66,MOD($M90-1,12)+1)/AVERAGE(Supuestos!$C$55:$C$66),1))</f>
        <v>12.300683371298405</v>
      </c>
      <c r="O90" s="123">
        <f>Supuestos!$C$45*Supuestos!$F$14*(1+Supuestos!$C$112)^INT(($M90-1)/12)*(1-Supuestos!$C$98)</f>
        <v>38.132610879999994</v>
      </c>
      <c r="P90" s="123">
        <f>(Supuestos!$C$48+Supuestos!$C$49)*(1+Supuestos!$C$112)^INT(($M90-1)/12)*(1-Supuestos!$C$98-Supuestos!$C$99)</f>
        <v>2.8198775</v>
      </c>
      <c r="Q90" s="123">
        <f>Supuestos!$C$47*(1+Supuestos!$C$112)^INT(($M90-1)/12)*(1-Supuestos!$C$98)</f>
        <v>20.760349999999999</v>
      </c>
      <c r="R90" s="120">
        <f>'Previsión 36 meses'!$M$107</f>
        <v>18385.397000000004</v>
      </c>
      <c r="S90" s="120">
        <f t="shared" si="0"/>
        <v>119492.03371879716</v>
      </c>
      <c r="T90" s="120">
        <f t="shared" si="1"/>
        <v>0</v>
      </c>
      <c r="U90" s="22" t="str">
        <f>CHOOSE(MONTH(DATE(YEAR(Supuestos!$C$8),MONTH(Supuestos!$C$8)+(35)-1,1)),"ene","feb","mar","abr","may","jun","jul","ago","sep","oct","nov","dic")&amp;" "&amp;RIGHT(YEAR(DATE(YEAR(Supuestos!$C$8),MONTH(Supuestos!$C$8)+(35)-1,1)),2)</f>
        <v>jul 30</v>
      </c>
      <c r="V90" s="121">
        <f>IF(AND(Supuestos!$C$33&gt;0,J90&gt;=Supuestos!$C$33),1,0)</f>
        <v>0</v>
      </c>
      <c r="X90" s="124">
        <f>X89+Y90-MIN(X89,ROUND(X89*Supuestos!$C$71*Supuestos!$F$13,0))</f>
        <v>514</v>
      </c>
      <c r="Y90" s="124">
        <f>MAX(0,MIN(ROUND(Supuestos!$F$12*(1+X$53)*$N90,0),IF(Supuestos!$C$72&gt;0,Supuestos!$C$72-X89+MIN(X89,ROUND(X89*Supuestos!$C$71*Supuestos!$F$13,0)),ROUND(Supuestos!$F$12*(1+X$53)*$N90,0))))</f>
        <v>10</v>
      </c>
      <c r="Z90" s="124">
        <f t="shared" si="4"/>
        <v>911.76932808799393</v>
      </c>
      <c r="AA90" s="124">
        <f t="shared" si="5"/>
        <v>1</v>
      </c>
      <c r="AB90" s="124">
        <f>AB89+AC90-MIN(AB89,ROUND(AB89*Supuestos!$C$71*Supuestos!$F$13,0))</f>
        <v>514</v>
      </c>
      <c r="AC90" s="124">
        <f>MAX(0,MIN(ROUND(Supuestos!$F$12*(1+AB$53)*$N90,0),IF(Supuestos!$C$72&gt;0,Supuestos!$C$72-AB89+MIN(AB89,ROUND(AB89*Supuestos!$C$71*Supuestos!$F$13,0)),ROUND(Supuestos!$F$12*(1+AB$53)*$N90,0))))</f>
        <v>10</v>
      </c>
      <c r="AD90" s="124">
        <f t="shared" si="6"/>
        <v>1891.7774277039898</v>
      </c>
      <c r="AE90" s="124">
        <f t="shared" si="7"/>
        <v>1</v>
      </c>
      <c r="AF90" s="124">
        <f>AF89+AG90-MIN(AF89,ROUND(AF89*Supuestos!$C$71*Supuestos!$F$13,0))</f>
        <v>514</v>
      </c>
      <c r="AG90" s="124">
        <f>MAX(0,MIN(ROUND(Supuestos!$F$12*(1+AF$53)*$N90,0),IF(Supuestos!$C$72&gt;0,Supuestos!$C$72-AF89+MIN(AF89,ROUND(AF89*Supuestos!$C$71*Supuestos!$F$13,0)),ROUND(Supuestos!$F$12*(1+AF$53)*$N90,0))))</f>
        <v>10</v>
      </c>
      <c r="AH90" s="124">
        <f t="shared" si="8"/>
        <v>2871.785527319993</v>
      </c>
      <c r="AI90" s="124">
        <f t="shared" si="9"/>
        <v>1</v>
      </c>
      <c r="AJ90" s="124">
        <f>AJ89+AK90-MIN(AJ89,ROUND(AJ89*Supuestos!$C$71*Supuestos!$F$13,0))</f>
        <v>514</v>
      </c>
      <c r="AK90" s="124">
        <f>MAX(0,MIN(ROUND(Supuestos!$F$12*(1+AJ$53)*$N90,0),IF(Supuestos!$C$72&gt;0,Supuestos!$C$72-AJ89+MIN(AJ89,ROUND(AJ89*Supuestos!$C$71*Supuestos!$F$13,0)),ROUND(Supuestos!$F$12*(1+AJ$53)*$N90,0))))</f>
        <v>10</v>
      </c>
      <c r="AL90" s="124">
        <f t="shared" si="10"/>
        <v>3851.7936269359925</v>
      </c>
      <c r="AM90" s="124">
        <f t="shared" si="11"/>
        <v>1</v>
      </c>
      <c r="AN90" s="124">
        <f>AN89+AO90-MIN(AN89,ROUND(AN89*Supuestos!$C$71*Supuestos!$F$13,0))</f>
        <v>514</v>
      </c>
      <c r="AO90" s="124">
        <f>MAX(0,MIN(ROUND(Supuestos!$F$12*(1+AN$53)*$N90,0),IF(Supuestos!$C$72&gt;0,Supuestos!$C$72-AN89+MIN(AN89,ROUND(AN89*Supuestos!$C$71*Supuestos!$F$13,0)),ROUND(Supuestos!$F$12*(1+AN$53)*$N90,0))))</f>
        <v>10</v>
      </c>
      <c r="AP90" s="124">
        <f t="shared" si="12"/>
        <v>4831.8017265519957</v>
      </c>
      <c r="AQ90" s="124">
        <f t="shared" si="13"/>
        <v>1</v>
      </c>
      <c r="AR90" s="124">
        <f>AR89+AS90-MIN(AR89,ROUND(AR89*Supuestos!$C$71*Supuestos!$F$13,0))</f>
        <v>576</v>
      </c>
      <c r="AS90" s="124">
        <f>MAX(0,MIN(ROUND(Supuestos!$F$12*(1+AR$53)*$N90,0),IF(Supuestos!$C$72&gt;0,Supuestos!$C$72-AR89+MIN(AR89,ROUND(AR89*Supuestos!$C$71*Supuestos!$F$13,0)),ROUND(Supuestos!$F$12*(1+AR$53)*$N90,0))))</f>
        <v>11</v>
      </c>
      <c r="AT90" s="124">
        <f t="shared" si="14"/>
        <v>3235.1617701919931</v>
      </c>
      <c r="AU90" s="124">
        <f t="shared" si="15"/>
        <v>1</v>
      </c>
      <c r="AV90" s="124">
        <f>AV89+AW90-MIN(AV89,ROUND(AV89*Supuestos!$C$71*Supuestos!$F$13,0))</f>
        <v>576</v>
      </c>
      <c r="AW90" s="124">
        <f>MAX(0,MIN(ROUND(Supuestos!$F$12*(1+AV$53)*$N90,0),IF(Supuestos!$C$72&gt;0,Supuestos!$C$72-AV89+MIN(AV89,ROUND(AV89*Supuestos!$C$71*Supuestos!$F$13,0)),ROUND(Supuestos!$F$12*(1+AV$53)*$N90,0))))</f>
        <v>11</v>
      </c>
      <c r="AX90" s="124">
        <f t="shared" si="16"/>
        <v>4333.3809635359903</v>
      </c>
      <c r="AY90" s="124">
        <f t="shared" si="17"/>
        <v>1</v>
      </c>
      <c r="AZ90" s="124">
        <f>AZ89+BA90-MIN(AZ89,ROUND(AZ89*Supuestos!$C$71*Supuestos!$F$13,0))</f>
        <v>576</v>
      </c>
      <c r="BA90" s="124">
        <f>MAX(0,MIN(ROUND(Supuestos!$F$12*(1+AZ$53)*$N90,0),IF(Supuestos!$C$72&gt;0,Supuestos!$C$72-AZ89+MIN(AZ89,ROUND(AZ89*Supuestos!$C$71*Supuestos!$F$13,0)),ROUND(Supuestos!$F$12*(1+AZ$53)*$N90,0))))</f>
        <v>11</v>
      </c>
      <c r="BB90" s="124">
        <f t="shared" si="18"/>
        <v>5431.6001568799911</v>
      </c>
      <c r="BC90" s="124">
        <f t="shared" si="19"/>
        <v>1</v>
      </c>
      <c r="BD90" s="124">
        <f>BD89+BE90-MIN(BD89,ROUND(BD89*Supuestos!$C$71*Supuestos!$F$13,0))</f>
        <v>576</v>
      </c>
      <c r="BE90" s="124">
        <f>MAX(0,MIN(ROUND(Supuestos!$F$12*(1+BD$53)*$N90,0),IF(Supuestos!$C$72&gt;0,Supuestos!$C$72-BD89+MIN(BD89,ROUND(BD89*Supuestos!$C$71*Supuestos!$F$13,0)),ROUND(Supuestos!$F$12*(1+BD$53)*$N90,0))))</f>
        <v>11</v>
      </c>
      <c r="BF90" s="124">
        <f t="shared" si="20"/>
        <v>6529.8193502239919</v>
      </c>
      <c r="BG90" s="124">
        <f t="shared" si="21"/>
        <v>1</v>
      </c>
      <c r="BH90" s="124">
        <f>BH89+BI90-MIN(BH89,ROUND(BH89*Supuestos!$C$71*Supuestos!$F$13,0))</f>
        <v>576</v>
      </c>
      <c r="BI90" s="124">
        <f>MAX(0,MIN(ROUND(Supuestos!$F$12*(1+BH$53)*$N90,0),IF(Supuestos!$C$72&gt;0,Supuestos!$C$72-BH89+MIN(BH89,ROUND(BH89*Supuestos!$C$71*Supuestos!$F$13,0)),ROUND(Supuestos!$F$12*(1+BH$53)*$N90,0))))</f>
        <v>11</v>
      </c>
      <c r="BJ90" s="124">
        <f t="shared" si="22"/>
        <v>7628.0385435679927</v>
      </c>
      <c r="BK90" s="124">
        <f t="shared" si="23"/>
        <v>1</v>
      </c>
      <c r="BL90" s="124">
        <f>BL89+BM90-MIN(BL89,ROUND(BL89*Supuestos!$C$71*Supuestos!$F$13,0))</f>
        <v>642</v>
      </c>
      <c r="BM90" s="124">
        <f>MAX(0,MIN(ROUND(Supuestos!$F$12*(1+BL$53)*$N90,0),IF(Supuestos!$C$72&gt;0,Supuestos!$C$72-BL89+MIN(BL89,ROUND(BL89*Supuestos!$C$71*Supuestos!$F$13,0)),ROUND(Supuestos!$F$12*(1+BL$53)*$N90,0))))</f>
        <v>12</v>
      </c>
      <c r="BN90" s="124">
        <f t="shared" si="24"/>
        <v>5707.1111214639895</v>
      </c>
      <c r="BO90" s="124">
        <f t="shared" si="25"/>
        <v>1</v>
      </c>
      <c r="BP90" s="124">
        <f>BP89+BQ90-MIN(BP89,ROUND(BP89*Supuestos!$C$71*Supuestos!$F$13,0))</f>
        <v>642</v>
      </c>
      <c r="BQ90" s="124">
        <f>MAX(0,MIN(ROUND(Supuestos!$F$12*(1+BP$53)*$N90,0),IF(Supuestos!$C$72&gt;0,Supuestos!$C$72-BP89+MIN(BP89,ROUND(BP89*Supuestos!$C$71*Supuestos!$F$13,0)),ROUND(Supuestos!$F$12*(1+BP$53)*$N90,0))))</f>
        <v>12</v>
      </c>
      <c r="BR90" s="124">
        <f t="shared" si="26"/>
        <v>6931.1679307119884</v>
      </c>
      <c r="BS90" s="124">
        <f t="shared" si="27"/>
        <v>1</v>
      </c>
      <c r="BT90" s="124">
        <f>BT89+BU90-MIN(BT89,ROUND(BT89*Supuestos!$C$71*Supuestos!$F$13,0))</f>
        <v>642</v>
      </c>
      <c r="BU90" s="124">
        <f>MAX(0,MIN(ROUND(Supuestos!$F$12*(1+BT$53)*$N90,0),IF(Supuestos!$C$72&gt;0,Supuestos!$C$72-BT89+MIN(BT89,ROUND(BT89*Supuestos!$C$71*Supuestos!$F$13,0)),ROUND(Supuestos!$F$12*(1+BT$53)*$N90,0))))</f>
        <v>12</v>
      </c>
      <c r="BV90" s="124">
        <f t="shared" si="28"/>
        <v>8155.2247399599873</v>
      </c>
      <c r="BW90" s="124">
        <f t="shared" si="29"/>
        <v>1</v>
      </c>
      <c r="BX90" s="124">
        <f>BX89+BY90-MIN(BX89,ROUND(BX89*Supuestos!$C$71*Supuestos!$F$13,0))</f>
        <v>642</v>
      </c>
      <c r="BY90" s="124">
        <f>MAX(0,MIN(ROUND(Supuestos!$F$12*(1+BX$53)*$N90,0),IF(Supuestos!$C$72&gt;0,Supuestos!$C$72-BX89+MIN(BX89,ROUND(BX89*Supuestos!$C$71*Supuestos!$F$13,0)),ROUND(Supuestos!$F$12*(1+BX$53)*$N90,0))))</f>
        <v>12</v>
      </c>
      <c r="BZ90" s="124">
        <f t="shared" si="30"/>
        <v>9379.2815492079899</v>
      </c>
      <c r="CA90" s="124">
        <f t="shared" si="31"/>
        <v>1</v>
      </c>
      <c r="CB90" s="124">
        <f>CB89+CC90-MIN(CB89,ROUND(CB89*Supuestos!$C$71*Supuestos!$F$13,0))</f>
        <v>642</v>
      </c>
      <c r="CC90" s="124">
        <f>MAX(0,MIN(ROUND(Supuestos!$F$12*(1+CB$53)*$N90,0),IF(Supuestos!$C$72&gt;0,Supuestos!$C$72-CB89+MIN(CB89,ROUND(CB89*Supuestos!$C$71*Supuestos!$F$13,0)),ROUND(Supuestos!$F$12*(1+CB$53)*$N90,0))))</f>
        <v>12</v>
      </c>
      <c r="CD90" s="124">
        <f t="shared" si="32"/>
        <v>10603.338358455992</v>
      </c>
      <c r="CE90" s="124">
        <f t="shared" si="33"/>
        <v>1</v>
      </c>
      <c r="CF90" s="124">
        <f>CF89+CG90-MIN(CF89,ROUND(CF89*Supuestos!$C$71*Supuestos!$F$13,0))</f>
        <v>709</v>
      </c>
      <c r="CG90" s="124">
        <f>MAX(0,MIN(ROUND(Supuestos!$F$12*(1+CF$53)*$N90,0),IF(Supuestos!$C$72&gt;0,Supuestos!$C$72-CF89+MIN(CF89,ROUND(CF89*Supuestos!$C$71*Supuestos!$F$13,0)),ROUND(Supuestos!$F$12*(1+CF$53)*$N90,0))))</f>
        <v>14</v>
      </c>
      <c r="CH90" s="124">
        <f t="shared" si="34"/>
        <v>8236.9600500279921</v>
      </c>
      <c r="CI90" s="124">
        <f t="shared" si="35"/>
        <v>1</v>
      </c>
      <c r="CJ90" s="124">
        <f>CJ89+CK90-MIN(CJ89,ROUND(CJ89*Supuestos!$C$71*Supuestos!$F$13,0))</f>
        <v>709</v>
      </c>
      <c r="CK90" s="124">
        <f>MAX(0,MIN(ROUND(Supuestos!$F$12*(1+CJ$53)*$N90,0),IF(Supuestos!$C$72&gt;0,Supuestos!$C$72-CJ89+MIN(CJ89,ROUND(CJ89*Supuestos!$C$71*Supuestos!$F$13,0)),ROUND(Supuestos!$F$12*(1+CJ$53)*$N90,0))))</f>
        <v>14</v>
      </c>
      <c r="CL90" s="124">
        <f t="shared" si="36"/>
        <v>9588.7611057239883</v>
      </c>
      <c r="CM90" s="124">
        <f t="shared" si="37"/>
        <v>1</v>
      </c>
      <c r="CN90" s="124">
        <f>CN89+CO90-MIN(CN89,ROUND(CN89*Supuestos!$C$71*Supuestos!$F$13,0))</f>
        <v>709</v>
      </c>
      <c r="CO90" s="124">
        <f>MAX(0,MIN(ROUND(Supuestos!$F$12*(1+CN$53)*$N90,0),IF(Supuestos!$C$72&gt;0,Supuestos!$C$72-CN89+MIN(CN89,ROUND(CN89*Supuestos!$C$71*Supuestos!$F$13,0)),ROUND(Supuestos!$F$12*(1+CN$53)*$N90,0))))</f>
        <v>14</v>
      </c>
      <c r="CP90" s="124">
        <f t="shared" si="38"/>
        <v>10940.562161419988</v>
      </c>
      <c r="CQ90" s="124">
        <f t="shared" si="39"/>
        <v>1</v>
      </c>
      <c r="CR90" s="124">
        <f>CR89+CS90-MIN(CR89,ROUND(CR89*Supuestos!$C$71*Supuestos!$F$13,0))</f>
        <v>709</v>
      </c>
      <c r="CS90" s="124">
        <f>MAX(0,MIN(ROUND(Supuestos!$F$12*(1+CR$53)*$N90,0),IF(Supuestos!$C$72&gt;0,Supuestos!$C$72-CR89+MIN(CR89,ROUND(CR89*Supuestos!$C$71*Supuestos!$F$13,0)),ROUND(Supuestos!$F$12*(1+CR$53)*$N90,0))))</f>
        <v>14</v>
      </c>
      <c r="CT90" s="124">
        <f t="shared" si="40"/>
        <v>12292.363217115992</v>
      </c>
      <c r="CU90" s="124">
        <f t="shared" si="41"/>
        <v>1</v>
      </c>
      <c r="CV90" s="124">
        <f>CV89+CW90-MIN(CV89,ROUND(CV89*Supuestos!$C$71*Supuestos!$F$13,0))</f>
        <v>709</v>
      </c>
      <c r="CW90" s="124">
        <f>MAX(0,MIN(ROUND(Supuestos!$F$12*(1+CV$53)*$N90,0),IF(Supuestos!$C$72&gt;0,Supuestos!$C$72-CV89+MIN(CV89,ROUND(CV89*Supuestos!$C$71*Supuestos!$F$13,0)),ROUND(Supuestos!$F$12*(1+CV$53)*$N90,0))))</f>
        <v>14</v>
      </c>
      <c r="CX90" s="124">
        <f t="shared" si="42"/>
        <v>13644.164272811991</v>
      </c>
      <c r="CY90" s="124">
        <f t="shared" si="43"/>
        <v>1</v>
      </c>
      <c r="CZ90" s="124">
        <f>CZ89+DA90-MIN(CZ89,ROUND(CZ89*Supuestos!$C$71*Supuestos!$F$13,0))</f>
        <v>770</v>
      </c>
      <c r="DA90" s="124">
        <f>MAX(0,MIN(ROUND(Supuestos!$F$12*(1+CZ$53)*$N90,0),IF(Supuestos!$C$72&gt;0,Supuestos!$C$72-CZ89+MIN(CZ89,ROUND(CZ89*Supuestos!$C$71*Supuestos!$F$13,0)),ROUND(Supuestos!$F$12*(1+CZ$53)*$N90,0))))</f>
        <v>15</v>
      </c>
      <c r="DB90" s="124">
        <f t="shared" si="44"/>
        <v>10523.213264839989</v>
      </c>
      <c r="DC90" s="124">
        <f t="shared" si="45"/>
        <v>1</v>
      </c>
      <c r="DD90" s="124">
        <f>DD89+DE90-MIN(DD89,ROUND(DD89*Supuestos!$C$71*Supuestos!$F$13,0))</f>
        <v>770</v>
      </c>
      <c r="DE90" s="124">
        <f>MAX(0,MIN(ROUND(Supuestos!$F$12*(1+DD$53)*$N90,0),IF(Supuestos!$C$72&gt;0,Supuestos!$C$72-DD89+MIN(DD89,ROUND(DD89*Supuestos!$C$71*Supuestos!$F$13,0)),ROUND(Supuestos!$F$12*(1+DD$53)*$N90,0))))</f>
        <v>15</v>
      </c>
      <c r="DF90" s="124">
        <f t="shared" si="46"/>
        <v>11991.318783719988</v>
      </c>
      <c r="DG90" s="124">
        <f t="shared" si="47"/>
        <v>1</v>
      </c>
      <c r="DH90" s="124">
        <f>DH89+DI90-MIN(DH89,ROUND(DH89*Supuestos!$C$71*Supuestos!$F$13,0))</f>
        <v>770</v>
      </c>
      <c r="DI90" s="124">
        <f>MAX(0,MIN(ROUND(Supuestos!$F$12*(1+DH$53)*$N90,0),IF(Supuestos!$C$72&gt;0,Supuestos!$C$72-DH89+MIN(DH89,ROUND(DH89*Supuestos!$C$71*Supuestos!$F$13,0)),ROUND(Supuestos!$F$12*(1+DH$53)*$N90,0))))</f>
        <v>15</v>
      </c>
      <c r="DJ90" s="124">
        <f t="shared" si="48"/>
        <v>13459.424302599989</v>
      </c>
      <c r="DK90" s="124">
        <f t="shared" si="49"/>
        <v>1</v>
      </c>
      <c r="DL90" s="124">
        <f>DL89+DM90-MIN(DL89,ROUND(DL89*Supuestos!$C$71*Supuestos!$F$13,0))</f>
        <v>770</v>
      </c>
      <c r="DM90" s="124">
        <f>MAX(0,MIN(ROUND(Supuestos!$F$12*(1+DL$53)*$N90,0),IF(Supuestos!$C$72&gt;0,Supuestos!$C$72-DL89+MIN(DL89,ROUND(DL89*Supuestos!$C$71*Supuestos!$F$13,0)),ROUND(Supuestos!$F$12*(1+DL$53)*$N90,0))))</f>
        <v>15</v>
      </c>
      <c r="DN90" s="124">
        <f t="shared" si="50"/>
        <v>14927.529821479991</v>
      </c>
      <c r="DO90" s="124">
        <f t="shared" si="51"/>
        <v>1</v>
      </c>
      <c r="DP90" s="124">
        <f>DP89+DQ90-MIN(DP89,ROUND(DP89*Supuestos!$C$71*Supuestos!$F$13,0))</f>
        <v>770</v>
      </c>
      <c r="DQ90" s="124">
        <f>MAX(0,MIN(ROUND(Supuestos!$F$12*(1+DP$53)*$N90,0),IF(Supuestos!$C$72&gt;0,Supuestos!$C$72-DP89+MIN(DP89,ROUND(DP89*Supuestos!$C$71*Supuestos!$F$13,0)),ROUND(Supuestos!$F$12*(1+DP$53)*$N90,0))))</f>
        <v>15</v>
      </c>
      <c r="DR90" s="124">
        <f t="shared" si="52"/>
        <v>16395.635340359993</v>
      </c>
      <c r="DS90" s="124">
        <f t="shared" si="53"/>
        <v>1</v>
      </c>
    </row>
    <row r="91" spans="2:123" ht="13.5" customHeight="1" x14ac:dyDescent="0.2">
      <c r="B91" s="7" t="str">
        <f>"Mes 36  ·  "&amp;CHOOSE(MONTH(DATE(YEAR(Supuestos!$C$8),MONTH(Supuestos!$C$8)+(36)-1,1)),"ene","feb","mar","abr","may","jun","jul","ago","sep","oct","nov","dic")&amp;" "&amp;YEAR(DATE(YEAR(Supuestos!$C$8),MONTH(Supuestos!$C$8)+(36)-1,1))</f>
        <v>Mes 36  ·  ago 2030</v>
      </c>
      <c r="C91" s="74">
        <f>'Previsión 36 meses'!$N$90</f>
        <v>626</v>
      </c>
      <c r="D91" s="72">
        <f t="shared" si="55"/>
        <v>449</v>
      </c>
      <c r="E91" s="59">
        <f>'Previsión 36 meses'!$N$95</f>
        <v>27988.372634999996</v>
      </c>
      <c r="F91" s="59">
        <f>'Previsión 36 meses'!$N$107+'Previsión 36 meses'!$N$111</f>
        <v>20529.908409120006</v>
      </c>
      <c r="G91" s="59">
        <f>'Previsión 36 meses'!$N$112</f>
        <v>7458.4642258799922</v>
      </c>
      <c r="H91" s="59">
        <f>'Previsión 36 meses'!$N$118</f>
        <v>5131.3304517757624</v>
      </c>
      <c r="I91" s="76">
        <f>'Previsión 36 meses'!$N$119</f>
        <v>124623.36417057292</v>
      </c>
      <c r="J91" s="59">
        <f t="shared" si="3"/>
        <v>145137.3773936998</v>
      </c>
      <c r="M91" s="119">
        <v>36</v>
      </c>
      <c r="N91" s="123">
        <f>IF($M91&lt;=12,INDEX(Supuestos!$C$55:$C$66,$M91)+IF($M91=1,Supuestos!$C$52,0),IF($M91&lt;=24,Supuestos!$C$69,Supuestos!$C$70)*IFERROR(INDEX(Supuestos!$C$55:$C$66,MOD($M91-1,12)+1)/AVERAGE(Supuestos!$C$55:$C$66),1))</f>
        <v>9.8405466970387252</v>
      </c>
      <c r="O91" s="123">
        <f>Supuestos!$C$45*Supuestos!$F$14*(1+Supuestos!$C$112)^INT(($M91-1)/12)*(1-Supuestos!$C$98)</f>
        <v>38.132610879999994</v>
      </c>
      <c r="P91" s="123">
        <f>(Supuestos!$C$48+Supuestos!$C$49)*(1+Supuestos!$C$112)^INT(($M91-1)/12)*(1-Supuestos!$C$98-Supuestos!$C$99)</f>
        <v>2.8198775</v>
      </c>
      <c r="Q91" s="123">
        <f>Supuestos!$C$47*(1+Supuestos!$C$112)^INT(($M91-1)/12)*(1-Supuestos!$C$98)</f>
        <v>20.760349999999999</v>
      </c>
      <c r="R91" s="120">
        <f>'Previsión 36 meses'!$N$107</f>
        <v>18385.397000000004</v>
      </c>
      <c r="S91" s="120">
        <f t="shared" si="0"/>
        <v>124623.36417057292</v>
      </c>
      <c r="T91" s="120">
        <f t="shared" si="1"/>
        <v>0</v>
      </c>
      <c r="U91" s="22" t="str">
        <f>CHOOSE(MONTH(DATE(YEAR(Supuestos!$C$8),MONTH(Supuestos!$C$8)+(36)-1,1)),"ene","feb","mar","abr","may","jun","jul","ago","sep","oct","nov","dic")&amp;" "&amp;RIGHT(YEAR(DATE(YEAR(Supuestos!$C$8),MONTH(Supuestos!$C$8)+(36)-1,1)),2)</f>
        <v>ago 30</v>
      </c>
      <c r="V91" s="121">
        <f>IF(AND(Supuestos!$C$33&gt;0,J91&gt;=Supuestos!$C$33),1,0)</f>
        <v>0</v>
      </c>
      <c r="X91" s="124">
        <f>X90+Y91-MIN(X90,ROUND(X90*Supuestos!$C$71*Supuestos!$F$13,0))</f>
        <v>501</v>
      </c>
      <c r="Y91" s="124">
        <f>MAX(0,MIN(ROUND(Supuestos!$F$12*(1+X$53)*$N91,0),IF(Supuestos!$C$72&gt;0,Supuestos!$C$72-X90+MIN(X90,ROUND(X90*Supuestos!$C$71*Supuestos!$F$13,0)),ROUND(Supuestos!$F$12*(1+X$53)*$N91,0))))</f>
        <v>8</v>
      </c>
      <c r="Z91" s="124">
        <f t="shared" si="4"/>
        <v>387.43867329199202</v>
      </c>
      <c r="AA91" s="124">
        <f t="shared" si="5"/>
        <v>1</v>
      </c>
      <c r="AB91" s="124">
        <f>AB90+AC91-MIN(AB90,ROUND(AB90*Supuestos!$C$71*Supuestos!$F$13,0))</f>
        <v>501</v>
      </c>
      <c r="AC91" s="124">
        <f>MAX(0,MIN(ROUND(Supuestos!$F$12*(1+AB$53)*$N91,0),IF(Supuestos!$C$72&gt;0,Supuestos!$C$72-AB90+MIN(AB90,ROUND(AB90*Supuestos!$C$71*Supuestos!$F$13,0)),ROUND(Supuestos!$F$12*(1+AB$53)*$N91,0))))</f>
        <v>8</v>
      </c>
      <c r="AD91" s="124">
        <f t="shared" si="6"/>
        <v>1342.660575835991</v>
      </c>
      <c r="AE91" s="124">
        <f t="shared" si="7"/>
        <v>1</v>
      </c>
      <c r="AF91" s="124">
        <f>AF90+AG91-MIN(AF90,ROUND(AF90*Supuestos!$C$71*Supuestos!$F$13,0))</f>
        <v>501</v>
      </c>
      <c r="AG91" s="124">
        <f>MAX(0,MIN(ROUND(Supuestos!$F$12*(1+AF$53)*$N91,0),IF(Supuestos!$C$72&gt;0,Supuestos!$C$72-AF90+MIN(AF90,ROUND(AF90*Supuestos!$C$71*Supuestos!$F$13,0)),ROUND(Supuestos!$F$12*(1+AF$53)*$N91,0))))</f>
        <v>8</v>
      </c>
      <c r="AH91" s="124">
        <f t="shared" si="8"/>
        <v>2297.8824783799901</v>
      </c>
      <c r="AI91" s="124">
        <f t="shared" si="9"/>
        <v>1</v>
      </c>
      <c r="AJ91" s="124">
        <f>AJ90+AK91-MIN(AJ90,ROUND(AJ90*Supuestos!$C$71*Supuestos!$F$13,0))</f>
        <v>501</v>
      </c>
      <c r="AK91" s="124">
        <f>MAX(0,MIN(ROUND(Supuestos!$F$12*(1+AJ$53)*$N91,0),IF(Supuestos!$C$72&gt;0,Supuestos!$C$72-AJ90+MIN(AJ90,ROUND(AJ90*Supuestos!$C$71*Supuestos!$F$13,0)),ROUND(Supuestos!$F$12*(1+AJ$53)*$N91,0))))</f>
        <v>8</v>
      </c>
      <c r="AL91" s="124">
        <f t="shared" si="10"/>
        <v>3253.1043809239927</v>
      </c>
      <c r="AM91" s="124">
        <f t="shared" si="11"/>
        <v>1</v>
      </c>
      <c r="AN91" s="124">
        <f>AN90+AO91-MIN(AN90,ROUND(AN90*Supuestos!$C$71*Supuestos!$F$13,0))</f>
        <v>501</v>
      </c>
      <c r="AO91" s="124">
        <f>MAX(0,MIN(ROUND(Supuestos!$F$12*(1+AN$53)*$N91,0),IF(Supuestos!$C$72&gt;0,Supuestos!$C$72-AN90+MIN(AN90,ROUND(AN90*Supuestos!$C$71*Supuestos!$F$13,0)),ROUND(Supuestos!$F$12*(1+AN$53)*$N91,0))))</f>
        <v>8</v>
      </c>
      <c r="AP91" s="124">
        <f t="shared" si="12"/>
        <v>4208.3262834679917</v>
      </c>
      <c r="AQ91" s="124">
        <f t="shared" si="13"/>
        <v>1</v>
      </c>
      <c r="AR91" s="124">
        <f>AR90+AS91-MIN(AR90,ROUND(AR90*Supuestos!$C$71*Supuestos!$F$13,0))</f>
        <v>562</v>
      </c>
      <c r="AS91" s="124">
        <f>MAX(0,MIN(ROUND(Supuestos!$F$12*(1+AR$53)*$N91,0),IF(Supuestos!$C$72&gt;0,Supuestos!$C$72-AR90+MIN(AR90,ROUND(AR90*Supuestos!$C$71*Supuestos!$F$13,0)),ROUND(Supuestos!$F$12*(1+AR$53)*$N91,0))))</f>
        <v>9</v>
      </c>
      <c r="AT91" s="124">
        <f t="shared" si="14"/>
        <v>2673.6918881039928</v>
      </c>
      <c r="AU91" s="124">
        <f t="shared" si="15"/>
        <v>1</v>
      </c>
      <c r="AV91" s="124">
        <f>AV90+AW91-MIN(AV90,ROUND(AV90*Supuestos!$C$71*Supuestos!$F$13,0))</f>
        <v>562</v>
      </c>
      <c r="AW91" s="124">
        <f>MAX(0,MIN(ROUND(Supuestos!$F$12*(1+AV$53)*$N91,0),IF(Supuestos!$C$72&gt;0,Supuestos!$C$72-AV90+MIN(AV90,ROUND(AV90*Supuestos!$C$71*Supuestos!$F$13,0)),ROUND(Supuestos!$F$12*(1+AV$53)*$N91,0))))</f>
        <v>9</v>
      </c>
      <c r="AX91" s="124">
        <f t="shared" si="16"/>
        <v>3745.2182538319903</v>
      </c>
      <c r="AY91" s="124">
        <f t="shared" si="17"/>
        <v>1</v>
      </c>
      <c r="AZ91" s="124">
        <f>AZ90+BA91-MIN(AZ90,ROUND(AZ90*Supuestos!$C$71*Supuestos!$F$13,0))</f>
        <v>562</v>
      </c>
      <c r="BA91" s="124">
        <f>MAX(0,MIN(ROUND(Supuestos!$F$12*(1+AZ$53)*$N91,0),IF(Supuestos!$C$72&gt;0,Supuestos!$C$72-AZ90+MIN(AZ90,ROUND(AZ90*Supuestos!$C$71*Supuestos!$F$13,0)),ROUND(Supuestos!$F$12*(1+AZ$53)*$N91,0))))</f>
        <v>9</v>
      </c>
      <c r="BB91" s="124">
        <f t="shared" si="18"/>
        <v>4816.7446195599914</v>
      </c>
      <c r="BC91" s="124">
        <f t="shared" si="19"/>
        <v>1</v>
      </c>
      <c r="BD91" s="124">
        <f>BD90+BE91-MIN(BD90,ROUND(BD90*Supuestos!$C$71*Supuestos!$F$13,0))</f>
        <v>562</v>
      </c>
      <c r="BE91" s="124">
        <f>MAX(0,MIN(ROUND(Supuestos!$F$12*(1+BD$53)*$N91,0),IF(Supuestos!$C$72&gt;0,Supuestos!$C$72-BD90+MIN(BD90,ROUND(BD90*Supuestos!$C$71*Supuestos!$F$13,0)),ROUND(Supuestos!$F$12*(1+BD$53)*$N91,0))))</f>
        <v>9</v>
      </c>
      <c r="BF91" s="124">
        <f t="shared" si="20"/>
        <v>5888.2709852879925</v>
      </c>
      <c r="BG91" s="124">
        <f t="shared" si="21"/>
        <v>1</v>
      </c>
      <c r="BH91" s="124">
        <f>BH90+BI91-MIN(BH90,ROUND(BH90*Supuestos!$C$71*Supuestos!$F$13,0))</f>
        <v>562</v>
      </c>
      <c r="BI91" s="124">
        <f>MAX(0,MIN(ROUND(Supuestos!$F$12*(1+BH$53)*$N91,0),IF(Supuestos!$C$72&gt;0,Supuestos!$C$72-BH90+MIN(BH90,ROUND(BH90*Supuestos!$C$71*Supuestos!$F$13,0)),ROUND(Supuestos!$F$12*(1+BH$53)*$N91,0))))</f>
        <v>9</v>
      </c>
      <c r="BJ91" s="124">
        <f t="shared" si="22"/>
        <v>6959.7973510159936</v>
      </c>
      <c r="BK91" s="124">
        <f t="shared" si="23"/>
        <v>1</v>
      </c>
      <c r="BL91" s="124">
        <f>BL90+BM91-MIN(BL90,ROUND(BL90*Supuestos!$C$71*Supuestos!$F$13,0))</f>
        <v>626</v>
      </c>
      <c r="BM91" s="124">
        <f>MAX(0,MIN(ROUND(Supuestos!$F$12*(1+BL$53)*$N91,0),IF(Supuestos!$C$72&gt;0,Supuestos!$C$72-BL90+MIN(BL90,ROUND(BL90*Supuestos!$C$71*Supuestos!$F$13,0)),ROUND(Supuestos!$F$12*(1+BL$53)*$N91,0))))</f>
        <v>10</v>
      </c>
      <c r="BN91" s="124">
        <f t="shared" si="24"/>
        <v>5071.3627847919925</v>
      </c>
      <c r="BO91" s="124">
        <f t="shared" si="25"/>
        <v>1</v>
      </c>
      <c r="BP91" s="124">
        <f>BP90+BQ91-MIN(BP90,ROUND(BP90*Supuestos!$C$71*Supuestos!$F$13,0))</f>
        <v>626</v>
      </c>
      <c r="BQ91" s="124">
        <f>MAX(0,MIN(ROUND(Supuestos!$F$12*(1+BP$53)*$N91,0),IF(Supuestos!$C$72&gt;0,Supuestos!$C$72-BP90+MIN(BP90,ROUND(BP90*Supuestos!$C$71*Supuestos!$F$13,0)),ROUND(Supuestos!$F$12*(1+BP$53)*$N91,0))))</f>
        <v>10</v>
      </c>
      <c r="BR91" s="124">
        <f t="shared" si="26"/>
        <v>6264.9135053359896</v>
      </c>
      <c r="BS91" s="124">
        <f t="shared" si="27"/>
        <v>1</v>
      </c>
      <c r="BT91" s="124">
        <f>BT90+BU91-MIN(BT90,ROUND(BT90*Supuestos!$C$71*Supuestos!$F$13,0))</f>
        <v>626</v>
      </c>
      <c r="BU91" s="124">
        <f>MAX(0,MIN(ROUND(Supuestos!$F$12*(1+BT$53)*$N91,0),IF(Supuestos!$C$72&gt;0,Supuestos!$C$72-BT90+MIN(BT90,ROUND(BT90*Supuestos!$C$71*Supuestos!$F$13,0)),ROUND(Supuestos!$F$12*(1+BT$53)*$N91,0))))</f>
        <v>10</v>
      </c>
      <c r="BV91" s="124">
        <f t="shared" si="28"/>
        <v>7458.4642258799904</v>
      </c>
      <c r="BW91" s="124">
        <f t="shared" si="29"/>
        <v>1</v>
      </c>
      <c r="BX91" s="124">
        <f>BX90+BY91-MIN(BX90,ROUND(BX90*Supuestos!$C$71*Supuestos!$F$13,0))</f>
        <v>626</v>
      </c>
      <c r="BY91" s="124">
        <f>MAX(0,MIN(ROUND(Supuestos!$F$12*(1+BX$53)*$N91,0),IF(Supuestos!$C$72&gt;0,Supuestos!$C$72-BX90+MIN(BX90,ROUND(BX90*Supuestos!$C$71*Supuestos!$F$13,0)),ROUND(Supuestos!$F$12*(1+BX$53)*$N91,0))))</f>
        <v>10</v>
      </c>
      <c r="BZ91" s="124">
        <f t="shared" si="30"/>
        <v>8652.0149464239912</v>
      </c>
      <c r="CA91" s="124">
        <f t="shared" si="31"/>
        <v>1</v>
      </c>
      <c r="CB91" s="124">
        <f>CB90+CC91-MIN(CB90,ROUND(CB90*Supuestos!$C$71*Supuestos!$F$13,0))</f>
        <v>626</v>
      </c>
      <c r="CC91" s="124">
        <f>MAX(0,MIN(ROUND(Supuestos!$F$12*(1+CB$53)*$N91,0),IF(Supuestos!$C$72&gt;0,Supuestos!$C$72-CB90+MIN(CB90,ROUND(CB90*Supuestos!$C$71*Supuestos!$F$13,0)),ROUND(Supuestos!$F$12*(1+CB$53)*$N91,0))))</f>
        <v>10</v>
      </c>
      <c r="CD91" s="124">
        <f t="shared" si="32"/>
        <v>9845.5656669679956</v>
      </c>
      <c r="CE91" s="124">
        <f t="shared" si="33"/>
        <v>1</v>
      </c>
      <c r="CF91" s="124">
        <f>CF90+CG91-MIN(CF90,ROUND(CF90*Supuestos!$C$71*Supuestos!$F$13,0))</f>
        <v>692</v>
      </c>
      <c r="CG91" s="124">
        <f>MAX(0,MIN(ROUND(Supuestos!$F$12*(1+CF$53)*$N91,0),IF(Supuestos!$C$72&gt;0,Supuestos!$C$72-CF90+MIN(CF90,ROUND(CF90*Supuestos!$C$71*Supuestos!$F$13,0)),ROUND(Supuestos!$F$12*(1+CF$53)*$N91,0))))</f>
        <v>11</v>
      </c>
      <c r="CH91" s="124">
        <f t="shared" si="34"/>
        <v>7543.3121360639925</v>
      </c>
      <c r="CI91" s="124">
        <f t="shared" si="35"/>
        <v>1</v>
      </c>
      <c r="CJ91" s="124">
        <f>CJ90+CK91-MIN(CJ90,ROUND(CJ90*Supuestos!$C$71*Supuestos!$F$13,0))</f>
        <v>692</v>
      </c>
      <c r="CK91" s="124">
        <f>MAX(0,MIN(ROUND(Supuestos!$F$12*(1+CJ$53)*$N91,0),IF(Supuestos!$C$72&gt;0,Supuestos!$C$72-CJ90+MIN(CJ90,ROUND(CJ90*Supuestos!$C$71*Supuestos!$F$13,0)),ROUND(Supuestos!$F$12*(1+CJ$53)*$N91,0))))</f>
        <v>11</v>
      </c>
      <c r="CL91" s="124">
        <f t="shared" si="36"/>
        <v>8862.7004725119878</v>
      </c>
      <c r="CM91" s="124">
        <f t="shared" si="37"/>
        <v>1</v>
      </c>
      <c r="CN91" s="124">
        <f>CN90+CO91-MIN(CN90,ROUND(CN90*Supuestos!$C$71*Supuestos!$F$13,0))</f>
        <v>692</v>
      </c>
      <c r="CO91" s="124">
        <f>MAX(0,MIN(ROUND(Supuestos!$F$12*(1+CN$53)*$N91,0),IF(Supuestos!$C$72&gt;0,Supuestos!$C$72-CN90+MIN(CN90,ROUND(CN90*Supuestos!$C$71*Supuestos!$F$13,0)),ROUND(Supuestos!$F$12*(1+CN$53)*$N91,0))))</f>
        <v>11</v>
      </c>
      <c r="CP91" s="124">
        <f t="shared" si="38"/>
        <v>10182.08880895999</v>
      </c>
      <c r="CQ91" s="124">
        <f t="shared" si="39"/>
        <v>1</v>
      </c>
      <c r="CR91" s="124">
        <f>CR90+CS91-MIN(CR90,ROUND(CR90*Supuestos!$C$71*Supuestos!$F$13,0))</f>
        <v>692</v>
      </c>
      <c r="CS91" s="124">
        <f>MAX(0,MIN(ROUND(Supuestos!$F$12*(1+CR$53)*$N91,0),IF(Supuestos!$C$72&gt;0,Supuestos!$C$72-CR90+MIN(CR90,ROUND(CR90*Supuestos!$C$71*Supuestos!$F$13,0)),ROUND(Supuestos!$F$12*(1+CR$53)*$N91,0))))</f>
        <v>11</v>
      </c>
      <c r="CT91" s="124">
        <f t="shared" si="40"/>
        <v>11501.477145407993</v>
      </c>
      <c r="CU91" s="124">
        <f t="shared" si="41"/>
        <v>1</v>
      </c>
      <c r="CV91" s="124">
        <f>CV90+CW91-MIN(CV90,ROUND(CV90*Supuestos!$C$71*Supuestos!$F$13,0))</f>
        <v>692</v>
      </c>
      <c r="CW91" s="124">
        <f>MAX(0,MIN(ROUND(Supuestos!$F$12*(1+CV$53)*$N91,0),IF(Supuestos!$C$72&gt;0,Supuestos!$C$72-CV90+MIN(CV90,ROUND(CV90*Supuestos!$C$71*Supuestos!$F$13,0)),ROUND(Supuestos!$F$12*(1+CV$53)*$N91,0))))</f>
        <v>11</v>
      </c>
      <c r="CX91" s="124">
        <f t="shared" si="42"/>
        <v>12820.865481855995</v>
      </c>
      <c r="CY91" s="124">
        <f t="shared" si="43"/>
        <v>1</v>
      </c>
      <c r="CZ91" s="124">
        <f>CZ90+DA91-MIN(CZ90,ROUND(CZ90*Supuestos!$C$71*Supuestos!$F$13,0))</f>
        <v>751</v>
      </c>
      <c r="DA91" s="124">
        <f>MAX(0,MIN(ROUND(Supuestos!$F$12*(1+CZ$53)*$N91,0),IF(Supuestos!$C$72&gt;0,Supuestos!$C$72-CZ90+MIN(CZ90,ROUND(CZ90*Supuestos!$C$71*Supuestos!$F$13,0)),ROUND(Supuestos!$F$12*(1+CZ$53)*$N91,0))))</f>
        <v>12</v>
      </c>
      <c r="DB91" s="124">
        <f t="shared" si="44"/>
        <v>9755.2868962919893</v>
      </c>
      <c r="DC91" s="124">
        <f t="shared" si="45"/>
        <v>1</v>
      </c>
      <c r="DD91" s="124">
        <f>DD90+DE91-MIN(DD90,ROUND(DD90*Supuestos!$C$71*Supuestos!$F$13,0))</f>
        <v>751</v>
      </c>
      <c r="DE91" s="124">
        <f>MAX(0,MIN(ROUND(Supuestos!$F$12*(1+DD$53)*$N91,0),IF(Supuestos!$C$72&gt;0,Supuestos!$C$72-DD90+MIN(DD90,ROUND(DD90*Supuestos!$C$71*Supuestos!$F$13,0)),ROUND(Supuestos!$F$12*(1+DD$53)*$N91,0))))</f>
        <v>12</v>
      </c>
      <c r="DF91" s="124">
        <f t="shared" si="46"/>
        <v>11187.166434835985</v>
      </c>
      <c r="DG91" s="124">
        <f t="shared" si="47"/>
        <v>1</v>
      </c>
      <c r="DH91" s="124">
        <f>DH90+DI91-MIN(DH90,ROUND(DH90*Supuestos!$C$71*Supuestos!$F$13,0))</f>
        <v>751</v>
      </c>
      <c r="DI91" s="124">
        <f>MAX(0,MIN(ROUND(Supuestos!$F$12*(1+DH$53)*$N91,0),IF(Supuestos!$C$72&gt;0,Supuestos!$C$72-DH90+MIN(DH90,ROUND(DH90*Supuestos!$C$71*Supuestos!$F$13,0)),ROUND(Supuestos!$F$12*(1+DH$53)*$N91,0))))</f>
        <v>12</v>
      </c>
      <c r="DJ91" s="124">
        <f t="shared" si="48"/>
        <v>12619.045973379987</v>
      </c>
      <c r="DK91" s="124">
        <f t="shared" si="49"/>
        <v>1</v>
      </c>
      <c r="DL91" s="124">
        <f>DL90+DM91-MIN(DL90,ROUND(DL90*Supuestos!$C$71*Supuestos!$F$13,0))</f>
        <v>751</v>
      </c>
      <c r="DM91" s="124">
        <f>MAX(0,MIN(ROUND(Supuestos!$F$12*(1+DL$53)*$N91,0),IF(Supuestos!$C$72&gt;0,Supuestos!$C$72-DL90+MIN(DL90,ROUND(DL90*Supuestos!$C$71*Supuestos!$F$13,0)),ROUND(Supuestos!$F$12*(1+DL$53)*$N91,0))))</f>
        <v>12</v>
      </c>
      <c r="DN91" s="124">
        <f t="shared" si="50"/>
        <v>14050.92551192399</v>
      </c>
      <c r="DO91" s="124">
        <f t="shared" si="51"/>
        <v>1</v>
      </c>
      <c r="DP91" s="124">
        <f>DP90+DQ91-MIN(DP90,ROUND(DP90*Supuestos!$C$71*Supuestos!$F$13,0))</f>
        <v>751</v>
      </c>
      <c r="DQ91" s="124">
        <f>MAX(0,MIN(ROUND(Supuestos!$F$12*(1+DP$53)*$N91,0),IF(Supuestos!$C$72&gt;0,Supuestos!$C$72-DP90+MIN(DP90,ROUND(DP90*Supuestos!$C$71*Supuestos!$F$13,0)),ROUND(Supuestos!$F$12*(1+DP$53)*$N91,0))))</f>
        <v>12</v>
      </c>
      <c r="DR91" s="124">
        <f t="shared" si="52"/>
        <v>15482.805050467992</v>
      </c>
      <c r="DS91" s="124">
        <f t="shared" si="53"/>
        <v>1</v>
      </c>
    </row>
    <row r="93" spans="2:123" x14ac:dyDescent="0.2">
      <c r="B93" s="29" t="s">
        <v>342</v>
      </c>
    </row>
  </sheetData>
  <mergeCells count="12">
    <mergeCell ref="H45:J49"/>
    <mergeCell ref="B32:J32"/>
    <mergeCell ref="D25:J25"/>
    <mergeCell ref="D20:J20"/>
    <mergeCell ref="D24:J24"/>
    <mergeCell ref="D29:J29"/>
    <mergeCell ref="D23:J23"/>
    <mergeCell ref="D28:J28"/>
    <mergeCell ref="D22:J22"/>
    <mergeCell ref="H36:J40"/>
    <mergeCell ref="F7:J12"/>
    <mergeCell ref="D26:J26"/>
  </mergeCells>
  <conditionalFormatting sqref="B55:J91">
    <cfRule type="expression" dxfId="10" priority="7">
      <formula>$M55=$C$20</formula>
    </cfRule>
    <cfRule type="expression" dxfId="9" priority="8">
      <formula>AND($M55=$C$22,$I55=$C$21)</formula>
    </cfRule>
  </conditionalFormatting>
  <conditionalFormatting sqref="C21">
    <cfRule type="cellIs" dxfId="8" priority="3" operator="lessThan">
      <formula>0</formula>
    </cfRule>
    <cfRule type="cellIs" dxfId="7" priority="4" operator="greaterThanOrEqual">
      <formula>0</formula>
    </cfRule>
  </conditionalFormatting>
  <conditionalFormatting sqref="C28">
    <cfRule type="cellIs" dxfId="6" priority="5" operator="lessThan">
      <formula>0</formula>
    </cfRule>
    <cfRule type="cellIs" dxfId="5" priority="6" operator="greaterThanOrEqual">
      <formula>0</formula>
    </cfRule>
  </conditionalFormatting>
  <conditionalFormatting sqref="C55:C91">
    <cfRule type="dataBar" priority="10">
      <dataBar>
        <cfvo type="num" val="0"/>
        <cfvo type="max"/>
        <color rgb="FF9EEDE3"/>
      </dataBar>
    </cfRule>
  </conditionalFormatting>
  <conditionalFormatting sqref="C17:E17">
    <cfRule type="expression" dxfId="4" priority="1">
      <formula>C17&gt;=C14</formula>
    </cfRule>
    <cfRule type="expression" dxfId="3" priority="2">
      <formula>C17&lt;C14</formula>
    </cfRule>
  </conditionalFormatting>
  <conditionalFormatting sqref="C36:G40">
    <cfRule type="expression" dxfId="2" priority="11">
      <formula>ISTEXT(C36)</formula>
    </cfRule>
    <cfRule type="colorScale" priority="12">
      <colorScale>
        <cfvo type="min"/>
        <cfvo type="percentile" val="50"/>
        <cfvo type="max"/>
        <color rgb="FFE2F7EC"/>
        <color rgb="FFFFF1D8"/>
        <color rgb="FFFFE8ED"/>
      </colorScale>
    </cfRule>
  </conditionalFormatting>
  <conditionalFormatting sqref="C45:G49">
    <cfRule type="colorScale" priority="13">
      <colorScale>
        <cfvo type="min"/>
        <cfvo type="num" val="0"/>
        <cfvo type="max"/>
        <color rgb="FFFFE8ED"/>
        <color rgb="FFFFFFFF"/>
        <color rgb="FFE2F7EC"/>
      </colorScale>
    </cfRule>
    <cfRule type="cellIs" dxfId="1" priority="14" operator="lessThan">
      <formula>0</formula>
    </cfRule>
  </conditionalFormatting>
  <conditionalFormatting sqref="G55:I91">
    <cfRule type="cellIs" dxfId="0" priority="9" operator="lessThan">
      <formula>0</formula>
    </cfRule>
  </conditionalFormatting>
  <printOptions horizontalCentered="1"/>
  <pageMargins left="0.45" right="0.45" top="0.6" bottom="0.6" header="0.25" footer="0.25"/>
  <pageSetup paperSize="9" fitToHeight="0" orientation="landscape"/>
  <headerFooter>
    <oddHeader>&amp;L&amp;"Arial,Bold"&amp;8 &amp;K5C697D&amp;A&amp;R&amp;"Arial,Regular"&amp;8 &amp;K5C697DPlan de viabilidad</oddHeader>
    <oddFooter>&amp;L&amp;"Arial,Regular"&amp;8 &amp;K5C697DPlantilla gratuita de GymGym · gymgym.es/recursos&amp;R&amp;"Arial,Regular"&amp;8 &amp;K5C697DPágina &amp;P de &amp;N</oddFooter>
    <evenHeader>&amp;L&amp;"Arial,Bold"&amp;8 &amp;K5C697D&amp;A&amp;R&amp;"Arial,Regular"&amp;8 &amp;K5C697DPlan de viabilidad</evenHeader>
    <evenFooter>&amp;L&amp;"Arial,Regular"&amp;8 &amp;K5C697DPlantilla gratuita de GymGym · gymgym.es/recursos&amp;R&amp;"Arial,Regular"&amp;8 &amp;K5C697DPágina &amp;P de &amp;N</evenFooter>
    <firstHeader>&amp;L&amp;"Arial,Bold"&amp;8 &amp;K5C697D&amp;A&amp;R&amp;"Arial,Regular"&amp;8 &amp;K5C697DPlan de viabilidad</firstHeader>
    <firstFooter>&amp;L&amp;"Arial,Regular"&amp;8 &amp;K5C697DPlantilla gratuita de GymGym · gymgym.es/recursos&amp;R&amp;"Arial,Regular"&amp;8 &amp;K5C697DPágina &amp;P de &amp;N</firstFooter>
  </headerFooter>
  <rowBreaks count="2" manualBreakCount="2">
    <brk id="30" max="16383" man="1"/>
    <brk id="51" max="16383" man="1"/>
  </rowBreaks>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5C697D"/>
    <pageSetUpPr fitToPage="1"/>
  </sheetPr>
  <dimension ref="B2:B12"/>
  <sheetViews>
    <sheetView showGridLines="0" workbookViewId="0"/>
  </sheetViews>
  <sheetFormatPr baseColWidth="10" defaultColWidth="8.83203125" defaultRowHeight="15" x14ac:dyDescent="0.2"/>
  <cols>
    <col min="1" max="1" width="2.5" customWidth="1"/>
    <col min="2" max="2" width="88" customWidth="1"/>
    <col min="3" max="3" width="2.5" customWidth="1"/>
  </cols>
  <sheetData>
    <row r="2" spans="2:2" ht="34" customHeight="1" x14ac:dyDescent="0.25">
      <c r="B2" s="21" t="s">
        <v>343</v>
      </c>
    </row>
    <row r="3" spans="2:2" ht="4" customHeight="1" x14ac:dyDescent="0.2">
      <c r="B3" s="2"/>
    </row>
    <row r="4" spans="2:2" ht="14" customHeight="1" x14ac:dyDescent="0.2"/>
    <row r="5" spans="2:2" ht="46" customHeight="1" x14ac:dyDescent="0.2">
      <c r="B5" s="125" t="s">
        <v>344</v>
      </c>
    </row>
    <row r="6" spans="2:2" ht="10" customHeight="1" x14ac:dyDescent="0.2"/>
    <row r="7" spans="2:2" ht="32" customHeight="1" x14ac:dyDescent="0.2">
      <c r="B7" s="125" t="s">
        <v>345</v>
      </c>
    </row>
    <row r="8" spans="2:2" ht="10" customHeight="1" x14ac:dyDescent="0.2"/>
    <row r="9" spans="2:2" ht="20" customHeight="1" x14ac:dyDescent="0.2">
      <c r="B9" s="126" t="s">
        <v>346</v>
      </c>
    </row>
    <row r="10" spans="2:2" ht="20" customHeight="1" x14ac:dyDescent="0.2">
      <c r="B10" s="126" t="s">
        <v>347</v>
      </c>
    </row>
    <row r="12" spans="2:2" ht="26" customHeight="1" x14ac:dyDescent="0.2"/>
  </sheetData>
  <hyperlinks>
    <hyperlink ref="B9" r:id="rId1" xr:uid="{00000000-0004-0000-0600-000000000000}"/>
    <hyperlink ref="B10" r:id="rId2" xr:uid="{00000000-0004-0000-0600-000001000000}"/>
  </hyperlinks>
  <printOptions horizontalCentered="1"/>
  <pageMargins left="0.45" right="0.45" top="0.6" bottom="0.6" header="0.25" footer="0.25"/>
  <pageSetup paperSize="9" orientation="portrait"/>
  <headerFooter>
    <oddHeader>&amp;L&amp;"Arial,Bold"&amp;8 &amp;K5C697D&amp;A&amp;R&amp;"Arial,Regular"&amp;8 &amp;K5C697DPlan de viabilidad</oddHeader>
    <oddFooter>&amp;L&amp;"Arial,Regular"&amp;8 &amp;K5C697DPlantilla gratuita de GymGym · gymgym.es/recursos&amp;R&amp;"Arial,Regular"&amp;8 &amp;K5C697DPágina &amp;P de &amp;N</oddFooter>
    <evenHeader>&amp;L&amp;"Arial,Bold"&amp;8 &amp;K5C697D&amp;A&amp;R&amp;"Arial,Regular"&amp;8 &amp;K5C697DPlan de viabilidad</evenHeader>
    <evenFooter>&amp;L&amp;"Arial,Regular"&amp;8 &amp;K5C697DPlantilla gratuita de GymGym · gymgym.es/recursos&amp;R&amp;"Arial,Regular"&amp;8 &amp;K5C697DPágina &amp;P de &amp;N</evenFooter>
    <firstHeader>&amp;L&amp;"Arial,Bold"&amp;8 &amp;K5C697D&amp;A&amp;R&amp;"Arial,Regular"&amp;8 &amp;K5C697DPlan de viabilidad</firstHeader>
    <firstFooter>&amp;L&amp;"Arial,Regular"&amp;8 &amp;K5C697DPlantilla gratuita de GymGym · gymgym.es/recursos&amp;R&amp;"Arial,Regular"&amp;8 &amp;K5C697DPágina &amp;P de &amp;N</firstFooter>
  </headerFooter>
  <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7</vt:i4>
      </vt:variant>
      <vt:variant>
        <vt:lpstr>Rangos con nombre</vt:lpstr>
      </vt:variant>
      <vt:variant>
        <vt:i4>7</vt:i4>
      </vt:variant>
    </vt:vector>
  </HeadingPairs>
  <TitlesOfParts>
    <vt:vector size="14" baseType="lpstr">
      <vt:lpstr>Empieza aquí</vt:lpstr>
      <vt:lpstr>Supuestos</vt:lpstr>
      <vt:lpstr>Resumen</vt:lpstr>
      <vt:lpstr>Previsión 36 meses</vt:lpstr>
      <vt:lpstr>Cuenta de resultados</vt:lpstr>
      <vt:lpstr>Punto de equilibrio</vt:lpstr>
      <vt:lpstr>Cuando la hoja se queda corta</vt:lpstr>
      <vt:lpstr>'Cuando la hoja se queda corta'!Área_de_impresión</vt:lpstr>
      <vt:lpstr>'Cuenta de resultados'!Área_de_impresión</vt:lpstr>
      <vt:lpstr>'Empieza aquí'!Área_de_impresión</vt:lpstr>
      <vt:lpstr>'Previsión 36 meses'!Área_de_impresión</vt:lpstr>
      <vt:lpstr>'Punto de equilibrio'!Área_de_impresión</vt:lpstr>
      <vt:lpstr>Resumen!Área_de_impresión</vt:lpstr>
      <vt:lpstr>Supuestos!Área_de_impresión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de viabilidad para abrir un gimnasio · GymGym</dc:title>
  <dc:subject>Inversión, financiación, punto de equilibrio y previsión a 36 meses para abrir un gimnasio</dc:subject>
  <dc:creator>GymGym</dc:creator>
  <cp:keywords>plan de viabilidad, gimnasio, punto de equilibrio, previsión, GymGym</cp:keywords>
  <cp:lastModifiedBy>Alejo Martín Arias Filippo</cp:lastModifiedBy>
  <dcterms:created xsi:type="dcterms:W3CDTF">2026-11-02T18:07:54Z</dcterms:created>
  <dcterms:modified xsi:type="dcterms:W3CDTF">2026-11-02T18:07:56Z</dcterms:modified>
</cp:coreProperties>
</file>