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xl/comments7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alejomaf/Library/Containers/com.microsoft.Excel/Data/tmp/gg-recursos/"/>
    </mc:Choice>
  </mc:AlternateContent>
  <xr:revisionPtr revIDLastSave="0" documentId="13_ncr:1_{E9D3ECAF-6C77-2E46-8FF4-D7AF2A8AA6D2}" xr6:coauthVersionLast="47" xr6:coauthVersionMax="47" xr10:uidLastSave="{00000000-0000-0000-0000-000000000000}"/>
  <bookViews>
    <workbookView xWindow="0" yWindow="600" windowWidth="38400" windowHeight="19360" xr2:uid="{00000000-000D-0000-FFFF-FFFF00000000}"/>
  </bookViews>
  <sheets>
    <sheet name="Empieza aquí" sheetId="1" r:id="rId1"/>
    <sheet name="Configuración" sheetId="2" r:id="rId2"/>
    <sheet name="Clases" sheetId="3" r:id="rId3"/>
    <sheet name="Horario" sheetId="4" r:id="rId4"/>
    <sheet name="Asistencia" sheetId="5" r:id="rId5"/>
    <sheet name="Ocupación" sheetId="6" r:id="rId6"/>
    <sheet name="Resumen" sheetId="7" r:id="rId7"/>
    <sheet name="Panel" sheetId="8" r:id="rId8"/>
    <sheet name="Cuando la hoja se queda corta" sheetId="9" r:id="rId9"/>
  </sheets>
  <definedNames>
    <definedName name="_xlnm.Print_Area" localSheetId="4">OFFSET(Asistencia!$A$1,0,0,8+MAX(1,Clases!$U$4),21)</definedName>
    <definedName name="_xlnm.Print_Area" localSheetId="2">OFFSET(Clases!$A$1,0,0,5+MAX(1,Clases!$U$4),14)</definedName>
    <definedName name="_xlnm.Print_Area" localSheetId="1">Configuración!$A$1:$H$37</definedName>
    <definedName name="_xlnm.Print_Area" localSheetId="8">'Cuando la hoja se queda corta'!$A$1:$B$15</definedName>
    <definedName name="_xlnm.Print_Area" localSheetId="0">'Empieza aquí'!$A$1:$O$52</definedName>
    <definedName name="_xlnm.Print_Area" localSheetId="3">OFFSET(Horario!$A$1,0,0,5+2*MAX(1,Horario!$K$4),9)</definedName>
    <definedName name="_xlnm.Print_Area" localSheetId="5">OFFSET(Ocupación!$A$1,0,0,5+MAX(1,Clases!$U$4),19)</definedName>
    <definedName name="_xlnm.Print_Area" localSheetId="7">Panel!$A$1:$N$33</definedName>
    <definedName name="_xlnm.Print_Area" localSheetId="6">Resumen!$A$1:$L$63</definedName>
    <definedName name="_xlnm.Print_Titles" localSheetId="4">Asistencia!$5:$8</definedName>
    <definedName name="_xlnm.Print_Titles" localSheetId="2">Clases!$5:$5</definedName>
    <definedName name="_xlnm.Print_Titles" localSheetId="5">Ocupación!$5:$5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8" l="1"/>
  <c r="R4" i="8"/>
  <c r="R3" i="8"/>
  <c r="R2" i="8"/>
  <c r="R1" i="8"/>
  <c r="C62" i="7"/>
  <c r="C61" i="7"/>
  <c r="C60" i="7"/>
  <c r="C59" i="7"/>
  <c r="C58" i="7"/>
  <c r="C57" i="7"/>
  <c r="C52" i="7"/>
  <c r="C51" i="7"/>
  <c r="C50" i="7"/>
  <c r="C49" i="7"/>
  <c r="C48" i="7"/>
  <c r="C47" i="7"/>
  <c r="C46" i="7"/>
  <c r="C45" i="7"/>
  <c r="C44" i="7"/>
  <c r="C43" i="7"/>
  <c r="C38" i="7"/>
  <c r="C37" i="7"/>
  <c r="C36" i="7"/>
  <c r="C35" i="7"/>
  <c r="C34" i="7"/>
  <c r="C33" i="7"/>
  <c r="C32" i="7"/>
  <c r="C31" i="7"/>
  <c r="C30" i="7"/>
  <c r="C29" i="7"/>
  <c r="C28" i="7"/>
  <c r="C27" i="7"/>
  <c r="D12" i="7"/>
  <c r="C12" i="7"/>
  <c r="D11" i="7"/>
  <c r="C11" i="7"/>
  <c r="D10" i="7"/>
  <c r="C10" i="7"/>
  <c r="D9" i="7"/>
  <c r="C9" i="7"/>
  <c r="D8" i="7"/>
  <c r="C8" i="7"/>
  <c r="C18" i="7" s="1"/>
  <c r="D7" i="7"/>
  <c r="C7" i="7"/>
  <c r="C17" i="7" s="1"/>
  <c r="N4" i="7"/>
  <c r="N3" i="7"/>
  <c r="N2" i="7"/>
  <c r="N1" i="7"/>
  <c r="Z4" i="6"/>
  <c r="Z3" i="6"/>
  <c r="L4" i="6" s="1"/>
  <c r="Z2" i="6"/>
  <c r="I4" i="6" s="1"/>
  <c r="Z1" i="6"/>
  <c r="S7" i="5"/>
  <c r="R7" i="5"/>
  <c r="Q7" i="5"/>
  <c r="P7" i="5"/>
  <c r="O7" i="5"/>
  <c r="N7" i="5"/>
  <c r="M7" i="5"/>
  <c r="L7" i="5"/>
  <c r="K7" i="5"/>
  <c r="J7" i="5"/>
  <c r="I7" i="5"/>
  <c r="H7" i="5"/>
  <c r="S6" i="5"/>
  <c r="R6" i="5"/>
  <c r="Q6" i="5"/>
  <c r="P6" i="5"/>
  <c r="O6" i="5"/>
  <c r="N6" i="5"/>
  <c r="M6" i="5"/>
  <c r="L6" i="5"/>
  <c r="K6" i="5"/>
  <c r="J6" i="5"/>
  <c r="I6" i="5"/>
  <c r="H6" i="5"/>
  <c r="W4" i="5"/>
  <c r="S4" i="5"/>
  <c r="R4" i="5"/>
  <c r="Q4" i="5"/>
  <c r="P4" i="5"/>
  <c r="O4" i="5"/>
  <c r="N4" i="5"/>
  <c r="M4" i="5"/>
  <c r="L4" i="5"/>
  <c r="K4" i="5"/>
  <c r="J4" i="5"/>
  <c r="I4" i="5"/>
  <c r="H4" i="5"/>
  <c r="W3" i="5"/>
  <c r="W2" i="5"/>
  <c r="W1" i="5"/>
  <c r="B2" i="4"/>
  <c r="G1" i="4"/>
  <c r="B1" i="4"/>
  <c r="U65" i="3"/>
  <c r="J65" i="3" s="1"/>
  <c r="R65" i="3"/>
  <c r="P65" i="3"/>
  <c r="O65" i="3"/>
  <c r="S65" i="3" s="1"/>
  <c r="T65" i="3" s="1"/>
  <c r="N65" i="3"/>
  <c r="L65" i="3"/>
  <c r="I65" i="3"/>
  <c r="B65" i="3"/>
  <c r="U64" i="3"/>
  <c r="R64" i="3"/>
  <c r="P64" i="3"/>
  <c r="O64" i="3"/>
  <c r="S64" i="3" s="1"/>
  <c r="T64" i="3" s="1"/>
  <c r="N64" i="3"/>
  <c r="L64" i="3"/>
  <c r="J64" i="3"/>
  <c r="I64" i="3"/>
  <c r="B64" i="3"/>
  <c r="U63" i="3"/>
  <c r="R63" i="3"/>
  <c r="P63" i="3"/>
  <c r="O63" i="3"/>
  <c r="S63" i="3" s="1"/>
  <c r="T63" i="3" s="1"/>
  <c r="N63" i="3"/>
  <c r="L63" i="3"/>
  <c r="J63" i="3"/>
  <c r="I63" i="3"/>
  <c r="B63" i="3"/>
  <c r="U62" i="3"/>
  <c r="R62" i="3"/>
  <c r="P62" i="3"/>
  <c r="O62" i="3"/>
  <c r="N62" i="3"/>
  <c r="L62" i="3"/>
  <c r="J62" i="3"/>
  <c r="I62" i="3"/>
  <c r="B62" i="3"/>
  <c r="U61" i="3"/>
  <c r="R61" i="3"/>
  <c r="P61" i="3"/>
  <c r="O61" i="3"/>
  <c r="S61" i="3" s="1"/>
  <c r="T61" i="3" s="1"/>
  <c r="N61" i="3"/>
  <c r="L61" i="3"/>
  <c r="J61" i="3"/>
  <c r="I61" i="3"/>
  <c r="B61" i="3"/>
  <c r="U60" i="3"/>
  <c r="R60" i="3"/>
  <c r="P60" i="3"/>
  <c r="O60" i="3"/>
  <c r="S60" i="3" s="1"/>
  <c r="T60" i="3" s="1"/>
  <c r="N60" i="3"/>
  <c r="L60" i="3"/>
  <c r="J60" i="3"/>
  <c r="I60" i="3"/>
  <c r="B60" i="3"/>
  <c r="U59" i="3"/>
  <c r="R59" i="3"/>
  <c r="P59" i="3"/>
  <c r="O59" i="3"/>
  <c r="S59" i="3" s="1"/>
  <c r="T59" i="3" s="1"/>
  <c r="N59" i="3"/>
  <c r="L59" i="3"/>
  <c r="J59" i="3"/>
  <c r="I59" i="3"/>
  <c r="B59" i="3"/>
  <c r="U58" i="3"/>
  <c r="J58" i="3" s="1"/>
  <c r="R58" i="3"/>
  <c r="P58" i="3"/>
  <c r="O58" i="3"/>
  <c r="N58" i="3"/>
  <c r="L58" i="3"/>
  <c r="I58" i="3"/>
  <c r="B58" i="3"/>
  <c r="U57" i="3"/>
  <c r="R57" i="3"/>
  <c r="P57" i="3"/>
  <c r="O57" i="3"/>
  <c r="S57" i="3" s="1"/>
  <c r="T57" i="3" s="1"/>
  <c r="N57" i="3"/>
  <c r="L57" i="3"/>
  <c r="J57" i="3"/>
  <c r="I57" i="3"/>
  <c r="B57" i="3"/>
  <c r="U56" i="3"/>
  <c r="R56" i="3"/>
  <c r="P56" i="3"/>
  <c r="O56" i="3"/>
  <c r="S56" i="3" s="1"/>
  <c r="T56" i="3" s="1"/>
  <c r="N56" i="3"/>
  <c r="L56" i="3"/>
  <c r="J56" i="3"/>
  <c r="I56" i="3"/>
  <c r="B56" i="3"/>
  <c r="U55" i="3"/>
  <c r="R55" i="3"/>
  <c r="P55" i="3"/>
  <c r="O55" i="3"/>
  <c r="S55" i="3" s="1"/>
  <c r="T55" i="3" s="1"/>
  <c r="N55" i="3"/>
  <c r="L55" i="3"/>
  <c r="J55" i="3"/>
  <c r="I55" i="3"/>
  <c r="B55" i="3"/>
  <c r="U54" i="3"/>
  <c r="R54" i="3"/>
  <c r="P54" i="3"/>
  <c r="O54" i="3"/>
  <c r="S54" i="3" s="1"/>
  <c r="T54" i="3" s="1"/>
  <c r="N54" i="3"/>
  <c r="L54" i="3"/>
  <c r="J54" i="3"/>
  <c r="I54" i="3"/>
  <c r="B54" i="3"/>
  <c r="U53" i="3"/>
  <c r="R53" i="3"/>
  <c r="P53" i="3"/>
  <c r="Q53" i="3" s="1"/>
  <c r="O53" i="3"/>
  <c r="N53" i="3"/>
  <c r="L53" i="3"/>
  <c r="J53" i="3"/>
  <c r="I53" i="3"/>
  <c r="B53" i="3"/>
  <c r="U52" i="3"/>
  <c r="R52" i="3"/>
  <c r="P52" i="3"/>
  <c r="O52" i="3"/>
  <c r="N52" i="3"/>
  <c r="L52" i="3"/>
  <c r="J52" i="3"/>
  <c r="I52" i="3"/>
  <c r="B52" i="3"/>
  <c r="U51" i="3"/>
  <c r="J51" i="3" s="1"/>
  <c r="R51" i="3"/>
  <c r="P51" i="3"/>
  <c r="O51" i="3"/>
  <c r="N51" i="3"/>
  <c r="L51" i="3"/>
  <c r="I51" i="3"/>
  <c r="B51" i="3"/>
  <c r="U50" i="3"/>
  <c r="R50" i="3"/>
  <c r="P50" i="3"/>
  <c r="O50" i="3"/>
  <c r="S50" i="3" s="1"/>
  <c r="T50" i="3" s="1"/>
  <c r="N50" i="3"/>
  <c r="L50" i="3"/>
  <c r="J50" i="3"/>
  <c r="I50" i="3"/>
  <c r="B50" i="3"/>
  <c r="U49" i="3"/>
  <c r="J49" i="3" s="1"/>
  <c r="R49" i="3"/>
  <c r="P49" i="3"/>
  <c r="O49" i="3"/>
  <c r="N49" i="3"/>
  <c r="L49" i="3"/>
  <c r="I49" i="3"/>
  <c r="B49" i="3"/>
  <c r="U48" i="3"/>
  <c r="R48" i="3"/>
  <c r="P48" i="3"/>
  <c r="O48" i="3"/>
  <c r="S48" i="3" s="1"/>
  <c r="T48" i="3" s="1"/>
  <c r="N48" i="3"/>
  <c r="L48" i="3"/>
  <c r="J48" i="3"/>
  <c r="I48" i="3"/>
  <c r="B48" i="3"/>
  <c r="U47" i="3"/>
  <c r="R47" i="3"/>
  <c r="P47" i="3"/>
  <c r="O47" i="3"/>
  <c r="S47" i="3" s="1"/>
  <c r="T47" i="3" s="1"/>
  <c r="N47" i="3"/>
  <c r="L47" i="3"/>
  <c r="J47" i="3"/>
  <c r="I47" i="3"/>
  <c r="B47" i="3"/>
  <c r="U46" i="3"/>
  <c r="R46" i="3"/>
  <c r="P46" i="3"/>
  <c r="O46" i="3"/>
  <c r="S46" i="3" s="1"/>
  <c r="T46" i="3" s="1"/>
  <c r="N46" i="3"/>
  <c r="L46" i="3"/>
  <c r="J46" i="3"/>
  <c r="I46" i="3"/>
  <c r="B46" i="3"/>
  <c r="U45" i="3"/>
  <c r="R45" i="3"/>
  <c r="P45" i="3"/>
  <c r="O45" i="3"/>
  <c r="N45" i="3"/>
  <c r="L45" i="3"/>
  <c r="J45" i="3"/>
  <c r="I45" i="3"/>
  <c r="B45" i="3"/>
  <c r="U44" i="3"/>
  <c r="J44" i="3" s="1"/>
  <c r="R44" i="3"/>
  <c r="P44" i="3"/>
  <c r="O44" i="3"/>
  <c r="N44" i="3"/>
  <c r="L44" i="3"/>
  <c r="I44" i="3"/>
  <c r="B44" i="3"/>
  <c r="U43" i="3"/>
  <c r="R43" i="3"/>
  <c r="P43" i="3"/>
  <c r="O43" i="3"/>
  <c r="S43" i="3" s="1"/>
  <c r="T43" i="3" s="1"/>
  <c r="N43" i="3"/>
  <c r="L43" i="3"/>
  <c r="J43" i="3"/>
  <c r="I43" i="3"/>
  <c r="B43" i="3"/>
  <c r="U42" i="3"/>
  <c r="R42" i="3"/>
  <c r="I42" i="3" s="1"/>
  <c r="P42" i="3"/>
  <c r="O42" i="3"/>
  <c r="L42" i="3"/>
  <c r="B42" i="3"/>
  <c r="U41" i="3"/>
  <c r="R41" i="3"/>
  <c r="I41" i="3" s="1"/>
  <c r="P41" i="3"/>
  <c r="O41" i="3"/>
  <c r="S41" i="3" s="1"/>
  <c r="T41" i="3" s="1"/>
  <c r="L41" i="3"/>
  <c r="B41" i="3"/>
  <c r="U40" i="3"/>
  <c r="R40" i="3"/>
  <c r="I40" i="3" s="1"/>
  <c r="P40" i="3"/>
  <c r="O40" i="3"/>
  <c r="L40" i="3"/>
  <c r="B40" i="3"/>
  <c r="U39" i="3"/>
  <c r="J39" i="3" s="1"/>
  <c r="Q39" i="3" s="1"/>
  <c r="R39" i="3"/>
  <c r="I39" i="3" s="1"/>
  <c r="P39" i="3"/>
  <c r="O39" i="3"/>
  <c r="L39" i="3"/>
  <c r="B39" i="3"/>
  <c r="U38" i="3"/>
  <c r="J38" i="3" s="1"/>
  <c r="R38" i="3"/>
  <c r="I38" i="3" s="1"/>
  <c r="P38" i="3"/>
  <c r="O38" i="3"/>
  <c r="L38" i="3"/>
  <c r="B38" i="3"/>
  <c r="U37" i="3"/>
  <c r="J37" i="3" s="1"/>
  <c r="R37" i="3"/>
  <c r="P37" i="3"/>
  <c r="O37" i="3"/>
  <c r="L37" i="3"/>
  <c r="I37" i="3"/>
  <c r="B37" i="3"/>
  <c r="U36" i="3"/>
  <c r="R36" i="3"/>
  <c r="P36" i="3"/>
  <c r="O36" i="3"/>
  <c r="S36" i="3" s="1"/>
  <c r="T36" i="3" s="1"/>
  <c r="L36" i="3"/>
  <c r="J36" i="3"/>
  <c r="I36" i="3"/>
  <c r="B36" i="3"/>
  <c r="U35" i="3"/>
  <c r="J35" i="3" s="1"/>
  <c r="Q35" i="3" s="1"/>
  <c r="R35" i="3"/>
  <c r="P35" i="3"/>
  <c r="O35" i="3"/>
  <c r="S35" i="3" s="1"/>
  <c r="T35" i="3" s="1"/>
  <c r="L35" i="3"/>
  <c r="I35" i="3"/>
  <c r="B35" i="3"/>
  <c r="U34" i="3"/>
  <c r="R34" i="3"/>
  <c r="P34" i="3"/>
  <c r="O34" i="3"/>
  <c r="L34" i="3"/>
  <c r="J34" i="3"/>
  <c r="I34" i="3"/>
  <c r="B34" i="3"/>
  <c r="U33" i="3"/>
  <c r="R33" i="3"/>
  <c r="P33" i="3"/>
  <c r="O33" i="3"/>
  <c r="L33" i="3"/>
  <c r="J33" i="3"/>
  <c r="I33" i="3"/>
  <c r="B33" i="3"/>
  <c r="U32" i="3"/>
  <c r="R32" i="3"/>
  <c r="P32" i="3"/>
  <c r="O32" i="3"/>
  <c r="L32" i="3"/>
  <c r="J32" i="3"/>
  <c r="I32" i="3"/>
  <c r="B32" i="3"/>
  <c r="U31" i="3"/>
  <c r="J31" i="3" s="1"/>
  <c r="R31" i="3"/>
  <c r="P31" i="3"/>
  <c r="O31" i="3"/>
  <c r="L31" i="3"/>
  <c r="I31" i="3"/>
  <c r="B31" i="3"/>
  <c r="U30" i="3"/>
  <c r="R30" i="3"/>
  <c r="P30" i="3"/>
  <c r="O30" i="3"/>
  <c r="L30" i="3"/>
  <c r="J30" i="3"/>
  <c r="I30" i="3"/>
  <c r="B30" i="3"/>
  <c r="U29" i="3"/>
  <c r="R29" i="3"/>
  <c r="P29" i="3"/>
  <c r="O29" i="3"/>
  <c r="S29" i="3" s="1"/>
  <c r="T29" i="3" s="1"/>
  <c r="L29" i="3"/>
  <c r="J29" i="3"/>
  <c r="I29" i="3"/>
  <c r="B29" i="3"/>
  <c r="U28" i="3"/>
  <c r="J28" i="3" s="1"/>
  <c r="H14" i="2" s="1"/>
  <c r="R28" i="3"/>
  <c r="P28" i="3"/>
  <c r="O28" i="3"/>
  <c r="S28" i="3" s="1"/>
  <c r="T28" i="3" s="1"/>
  <c r="L28" i="3"/>
  <c r="I28" i="3"/>
  <c r="B28" i="3"/>
  <c r="U27" i="3"/>
  <c r="R27" i="3"/>
  <c r="I27" i="3" s="1"/>
  <c r="P27" i="3"/>
  <c r="O27" i="3"/>
  <c r="S27" i="3" s="1"/>
  <c r="T27" i="3" s="1"/>
  <c r="L27" i="3"/>
  <c r="J27" i="3"/>
  <c r="B27" i="3"/>
  <c r="U26" i="3"/>
  <c r="J26" i="3" s="1"/>
  <c r="R26" i="3"/>
  <c r="P26" i="3"/>
  <c r="O26" i="3"/>
  <c r="L26" i="3"/>
  <c r="I26" i="3"/>
  <c r="B26" i="3"/>
  <c r="U25" i="3"/>
  <c r="R25" i="3"/>
  <c r="P25" i="3"/>
  <c r="O25" i="3"/>
  <c r="S25" i="3" s="1"/>
  <c r="T25" i="3" s="1"/>
  <c r="L25" i="3"/>
  <c r="J25" i="3"/>
  <c r="I25" i="3"/>
  <c r="B25" i="3"/>
  <c r="U24" i="3"/>
  <c r="R24" i="3"/>
  <c r="P24" i="3"/>
  <c r="O24" i="3"/>
  <c r="L24" i="3"/>
  <c r="J24" i="3"/>
  <c r="I24" i="3"/>
  <c r="B24" i="3"/>
  <c r="U23" i="3"/>
  <c r="R23" i="3"/>
  <c r="P23" i="3"/>
  <c r="O23" i="3"/>
  <c r="S23" i="3" s="1"/>
  <c r="T23" i="3" s="1"/>
  <c r="L23" i="3"/>
  <c r="J23" i="3"/>
  <c r="I23" i="3"/>
  <c r="B23" i="3"/>
  <c r="U22" i="3"/>
  <c r="J22" i="3" s="1"/>
  <c r="H18" i="2" s="1"/>
  <c r="R22" i="3"/>
  <c r="I22" i="3" s="1"/>
  <c r="P22" i="3"/>
  <c r="O22" i="3"/>
  <c r="L22" i="3"/>
  <c r="B22" i="3"/>
  <c r="U21" i="3"/>
  <c r="R21" i="3"/>
  <c r="P21" i="3"/>
  <c r="O21" i="3"/>
  <c r="S21" i="3" s="1"/>
  <c r="T21" i="3" s="1"/>
  <c r="L21" i="3"/>
  <c r="J21" i="3"/>
  <c r="I21" i="3"/>
  <c r="B21" i="3"/>
  <c r="U20" i="3"/>
  <c r="R20" i="3"/>
  <c r="P20" i="3"/>
  <c r="O20" i="3"/>
  <c r="L20" i="3"/>
  <c r="J20" i="3"/>
  <c r="I20" i="3"/>
  <c r="B20" i="3"/>
  <c r="U19" i="3"/>
  <c r="R19" i="3"/>
  <c r="P19" i="3"/>
  <c r="O19" i="3"/>
  <c r="S19" i="3" s="1"/>
  <c r="T19" i="3" s="1"/>
  <c r="L19" i="3"/>
  <c r="J19" i="3"/>
  <c r="I19" i="3"/>
  <c r="B19" i="3"/>
  <c r="U18" i="3"/>
  <c r="R18" i="3"/>
  <c r="P18" i="3"/>
  <c r="O18" i="3"/>
  <c r="L18" i="3"/>
  <c r="J18" i="3"/>
  <c r="I18" i="3"/>
  <c r="B18" i="3"/>
  <c r="U17" i="3"/>
  <c r="R17" i="3"/>
  <c r="P17" i="3"/>
  <c r="O17" i="3"/>
  <c r="S17" i="3" s="1"/>
  <c r="T17" i="3" s="1"/>
  <c r="L17" i="3"/>
  <c r="J17" i="3"/>
  <c r="I17" i="3"/>
  <c r="B17" i="3"/>
  <c r="U16" i="3"/>
  <c r="R16" i="3"/>
  <c r="P16" i="3"/>
  <c r="O16" i="3"/>
  <c r="S16" i="3" s="1"/>
  <c r="T16" i="3" s="1"/>
  <c r="L16" i="3"/>
  <c r="J16" i="3"/>
  <c r="I16" i="3"/>
  <c r="B16" i="3"/>
  <c r="U15" i="3"/>
  <c r="R15" i="3"/>
  <c r="P15" i="3"/>
  <c r="O15" i="3"/>
  <c r="L15" i="3"/>
  <c r="J15" i="3"/>
  <c r="I15" i="3"/>
  <c r="B15" i="3"/>
  <c r="U14" i="3"/>
  <c r="R14" i="3"/>
  <c r="P14" i="3"/>
  <c r="O14" i="3"/>
  <c r="S14" i="3" s="1"/>
  <c r="T14" i="3" s="1"/>
  <c r="L14" i="3"/>
  <c r="J14" i="3"/>
  <c r="I14" i="3"/>
  <c r="B14" i="3"/>
  <c r="U13" i="3"/>
  <c r="R13" i="3"/>
  <c r="P13" i="3"/>
  <c r="O13" i="3"/>
  <c r="L13" i="3"/>
  <c r="J13" i="3"/>
  <c r="I13" i="3"/>
  <c r="B13" i="3"/>
  <c r="U12" i="3"/>
  <c r="R12" i="3"/>
  <c r="P12" i="3"/>
  <c r="O12" i="3"/>
  <c r="L12" i="3"/>
  <c r="J12" i="3"/>
  <c r="I12" i="3"/>
  <c r="B12" i="3"/>
  <c r="U11" i="3"/>
  <c r="R11" i="3"/>
  <c r="P11" i="3"/>
  <c r="O11" i="3"/>
  <c r="L11" i="3"/>
  <c r="J11" i="3"/>
  <c r="I11" i="3"/>
  <c r="B11" i="3"/>
  <c r="U10" i="3"/>
  <c r="R10" i="3"/>
  <c r="P10" i="3"/>
  <c r="O10" i="3"/>
  <c r="L10" i="3"/>
  <c r="J10" i="3"/>
  <c r="I10" i="3"/>
  <c r="B10" i="3"/>
  <c r="U9" i="3"/>
  <c r="R9" i="3"/>
  <c r="I9" i="3" s="1"/>
  <c r="P9" i="3"/>
  <c r="O9" i="3"/>
  <c r="L9" i="3"/>
  <c r="J9" i="3"/>
  <c r="B9" i="3"/>
  <c r="U8" i="3"/>
  <c r="R8" i="3"/>
  <c r="P8" i="3"/>
  <c r="O8" i="3"/>
  <c r="L8" i="3"/>
  <c r="J8" i="3"/>
  <c r="I8" i="3"/>
  <c r="B8" i="3"/>
  <c r="U7" i="3"/>
  <c r="R7" i="3"/>
  <c r="P7" i="3"/>
  <c r="O7" i="3"/>
  <c r="L7" i="3"/>
  <c r="J7" i="3"/>
  <c r="I7" i="3"/>
  <c r="B7" i="3"/>
  <c r="U6" i="3"/>
  <c r="R6" i="3"/>
  <c r="P6" i="3"/>
  <c r="O6" i="3"/>
  <c r="L6" i="3"/>
  <c r="J6" i="3"/>
  <c r="I6" i="3"/>
  <c r="B6" i="3"/>
  <c r="U4" i="3"/>
  <c r="H37" i="2"/>
  <c r="H36" i="2"/>
  <c r="H35" i="2"/>
  <c r="H34" i="2"/>
  <c r="H33" i="2"/>
  <c r="H32" i="2"/>
  <c r="H31" i="2"/>
  <c r="H30" i="2"/>
  <c r="H29" i="2"/>
  <c r="H28" i="2"/>
  <c r="H27" i="2"/>
  <c r="H26" i="2"/>
  <c r="H23" i="2"/>
  <c r="H22" i="2"/>
  <c r="H21" i="2"/>
  <c r="H20" i="2"/>
  <c r="H19" i="2"/>
  <c r="C15" i="2"/>
  <c r="O4" i="6" s="1"/>
  <c r="H11" i="2"/>
  <c r="H10" i="2"/>
  <c r="H9" i="2"/>
  <c r="H8" i="2"/>
  <c r="H7" i="2"/>
  <c r="H6" i="2"/>
  <c r="Q38" i="3" l="1"/>
  <c r="Q31" i="3"/>
  <c r="Q30" i="3"/>
  <c r="Q24" i="3"/>
  <c r="N24" i="3" s="1"/>
  <c r="Q18" i="3"/>
  <c r="Q13" i="3"/>
  <c r="Q49" i="3"/>
  <c r="Q36" i="3"/>
  <c r="N36" i="3" s="1"/>
  <c r="Q29" i="3"/>
  <c r="Q6" i="3"/>
  <c r="Q65" i="3"/>
  <c r="Q64" i="3"/>
  <c r="Q63" i="3"/>
  <c r="Q62" i="3"/>
  <c r="Q60" i="3"/>
  <c r="S58" i="3"/>
  <c r="T58" i="3" s="1"/>
  <c r="S62" i="3"/>
  <c r="T62" i="3" s="1"/>
  <c r="Q58" i="3"/>
  <c r="S52" i="3"/>
  <c r="T52" i="3" s="1"/>
  <c r="Q51" i="3"/>
  <c r="S49" i="3"/>
  <c r="T49" i="3" s="1"/>
  <c r="Q61" i="3"/>
  <c r="Q59" i="3"/>
  <c r="S51" i="3"/>
  <c r="T51" i="3" s="1"/>
  <c r="Q46" i="3"/>
  <c r="S40" i="3"/>
  <c r="T40" i="3" s="1"/>
  <c r="Q57" i="3"/>
  <c r="Q56" i="3"/>
  <c r="Q54" i="3"/>
  <c r="Q52" i="3"/>
  <c r="Q44" i="3"/>
  <c r="Q34" i="3"/>
  <c r="Q32" i="3"/>
  <c r="Q23" i="3"/>
  <c r="Q16" i="3"/>
  <c r="S53" i="3"/>
  <c r="T53" i="3" s="1"/>
  <c r="S45" i="3"/>
  <c r="T45" i="3" s="1"/>
  <c r="S42" i="3"/>
  <c r="T42" i="3" s="1"/>
  <c r="Q28" i="3"/>
  <c r="Q27" i="3"/>
  <c r="Q11" i="3"/>
  <c r="Q8" i="3"/>
  <c r="Q45" i="3"/>
  <c r="Q19" i="3"/>
  <c r="Q50" i="3"/>
  <c r="Q12" i="3"/>
  <c r="Q48" i="3"/>
  <c r="Q47" i="3"/>
  <c r="S44" i="3"/>
  <c r="T44" i="3" s="1"/>
  <c r="Q43" i="3"/>
  <c r="S38" i="3"/>
  <c r="T38" i="3" s="1"/>
  <c r="Q37" i="3"/>
  <c r="Q25" i="3"/>
  <c r="Q22" i="3"/>
  <c r="N22" i="3" s="1"/>
  <c r="Q17" i="3"/>
  <c r="N17" i="3" s="1"/>
  <c r="Q9" i="3"/>
  <c r="N9" i="3" s="1"/>
  <c r="Q33" i="3"/>
  <c r="Q10" i="3"/>
  <c r="S22" i="3"/>
  <c r="T22" i="3" s="1"/>
  <c r="Q21" i="3"/>
  <c r="N21" i="3" s="1"/>
  <c r="Q20" i="3"/>
  <c r="Q14" i="3"/>
  <c r="N14" i="3" s="1"/>
  <c r="S11" i="3"/>
  <c r="T11" i="3" s="1"/>
  <c r="H59" i="7"/>
  <c r="G59" i="7"/>
  <c r="I59" i="7"/>
  <c r="H17" i="2"/>
  <c r="Q26" i="3"/>
  <c r="N26" i="3" s="1"/>
  <c r="I62" i="7"/>
  <c r="D62" i="7"/>
  <c r="E62" i="7"/>
  <c r="F62" i="7"/>
  <c r="G62" i="7"/>
  <c r="H62" i="7"/>
  <c r="D61" i="7"/>
  <c r="E61" i="7"/>
  <c r="F61" i="7"/>
  <c r="G61" i="7"/>
  <c r="H61" i="7"/>
  <c r="I61" i="7"/>
  <c r="D60" i="7"/>
  <c r="E60" i="7"/>
  <c r="F60" i="7"/>
  <c r="G60" i="7"/>
  <c r="H60" i="7"/>
  <c r="I60" i="7"/>
  <c r="F59" i="7"/>
  <c r="E59" i="7"/>
  <c r="D59" i="7"/>
  <c r="F58" i="7"/>
  <c r="E58" i="7"/>
  <c r="D58" i="7"/>
  <c r="I57" i="7"/>
  <c r="F57" i="7"/>
  <c r="F63" i="7" s="1"/>
  <c r="E57" i="7"/>
  <c r="E63" i="7" s="1"/>
  <c r="D57" i="7"/>
  <c r="H52" i="7"/>
  <c r="I52" i="7"/>
  <c r="J52" i="7"/>
  <c r="D52" i="7"/>
  <c r="E52" i="7"/>
  <c r="F52" i="7"/>
  <c r="G52" i="7"/>
  <c r="D51" i="7"/>
  <c r="E51" i="7"/>
  <c r="F51" i="7"/>
  <c r="G51" i="7"/>
  <c r="H51" i="7"/>
  <c r="I51" i="7"/>
  <c r="J51" i="7"/>
  <c r="G50" i="7"/>
  <c r="F50" i="7"/>
  <c r="H50" i="7"/>
  <c r="D50" i="7"/>
  <c r="I50" i="7"/>
  <c r="J50" i="7"/>
  <c r="E50" i="7"/>
  <c r="I49" i="7"/>
  <c r="J49" i="7"/>
  <c r="G49" i="7"/>
  <c r="F49" i="7"/>
  <c r="E49" i="7"/>
  <c r="H49" i="7"/>
  <c r="D49" i="7"/>
  <c r="J48" i="7"/>
  <c r="I48" i="7"/>
  <c r="H48" i="7"/>
  <c r="G48" i="7"/>
  <c r="F48" i="7"/>
  <c r="E48" i="7"/>
  <c r="D48" i="7"/>
  <c r="E47" i="7"/>
  <c r="D47" i="7"/>
  <c r="E46" i="7"/>
  <c r="D46" i="7"/>
  <c r="E45" i="7"/>
  <c r="D45" i="7"/>
  <c r="E44" i="7"/>
  <c r="D44" i="7"/>
  <c r="E43" i="7"/>
  <c r="E53" i="7" s="1"/>
  <c r="D43" i="7"/>
  <c r="D53" i="7" s="1"/>
  <c r="G38" i="7"/>
  <c r="V31" i="8" s="1"/>
  <c r="H38" i="7"/>
  <c r="F38" i="7"/>
  <c r="E38" i="7"/>
  <c r="D38" i="7"/>
  <c r="U31" i="8"/>
  <c r="I38" i="7"/>
  <c r="J38" i="7"/>
  <c r="J37" i="7"/>
  <c r="I37" i="7"/>
  <c r="H37" i="7"/>
  <c r="G37" i="7"/>
  <c r="V30" i="8" s="1"/>
  <c r="F37" i="7"/>
  <c r="E37" i="7"/>
  <c r="D37" i="7"/>
  <c r="U30" i="8"/>
  <c r="U29" i="8"/>
  <c r="E36" i="7"/>
  <c r="D36" i="7"/>
  <c r="D35" i="7"/>
  <c r="E35" i="7"/>
  <c r="U28" i="8"/>
  <c r="E34" i="7"/>
  <c r="D34" i="7"/>
  <c r="U27" i="8"/>
  <c r="D33" i="7"/>
  <c r="E33" i="7"/>
  <c r="U26" i="8"/>
  <c r="D32" i="7"/>
  <c r="E32" i="7"/>
  <c r="U25" i="8"/>
  <c r="U24" i="8"/>
  <c r="D31" i="7"/>
  <c r="E31" i="7"/>
  <c r="D30" i="7"/>
  <c r="E30" i="7"/>
  <c r="U23" i="8"/>
  <c r="U22" i="8"/>
  <c r="E29" i="7"/>
  <c r="D29" i="7"/>
  <c r="E28" i="7"/>
  <c r="D28" i="7"/>
  <c r="U21" i="8"/>
  <c r="E27" i="7"/>
  <c r="D27" i="7"/>
  <c r="U20" i="8"/>
  <c r="L18" i="7"/>
  <c r="K18" i="7"/>
  <c r="J18" i="7"/>
  <c r="I18" i="7"/>
  <c r="H18" i="7"/>
  <c r="G18" i="7"/>
  <c r="F18" i="7"/>
  <c r="E18" i="7"/>
  <c r="H17" i="7"/>
  <c r="L17" i="7"/>
  <c r="K17" i="7"/>
  <c r="E17" i="7"/>
  <c r="F17" i="7"/>
  <c r="G17" i="7"/>
  <c r="J17" i="7"/>
  <c r="I17" i="7"/>
  <c r="C22" i="7"/>
  <c r="W25" i="8"/>
  <c r="C21" i="7"/>
  <c r="W24" i="8"/>
  <c r="W23" i="8"/>
  <c r="C20" i="7"/>
  <c r="C19" i="7"/>
  <c r="W22" i="8"/>
  <c r="W21" i="8"/>
  <c r="W20" i="8"/>
  <c r="F4" i="6"/>
  <c r="B4" i="6"/>
  <c r="T7" i="5"/>
  <c r="U4" i="5"/>
  <c r="B2" i="8" s="1"/>
  <c r="T4" i="5"/>
  <c r="V68" i="5"/>
  <c r="X65" i="6"/>
  <c r="K65" i="3"/>
  <c r="M65" i="3"/>
  <c r="B68" i="5"/>
  <c r="B65" i="6"/>
  <c r="V67" i="5"/>
  <c r="X64" i="6"/>
  <c r="K64" i="3"/>
  <c r="M64" i="3"/>
  <c r="B67" i="5"/>
  <c r="B64" i="6"/>
  <c r="V66" i="5"/>
  <c r="X63" i="6"/>
  <c r="K63" i="3"/>
  <c r="M63" i="3"/>
  <c r="B63" i="6"/>
  <c r="B66" i="5"/>
  <c r="X62" i="6"/>
  <c r="V65" i="5"/>
  <c r="M62" i="3"/>
  <c r="K62" i="3"/>
  <c r="B65" i="5"/>
  <c r="B62" i="6"/>
  <c r="V64" i="5"/>
  <c r="X61" i="6"/>
  <c r="K61" i="3"/>
  <c r="M61" i="3"/>
  <c r="B64" i="5"/>
  <c r="B61" i="6"/>
  <c r="X60" i="6"/>
  <c r="V63" i="5"/>
  <c r="M60" i="3"/>
  <c r="K60" i="3"/>
  <c r="B63" i="5"/>
  <c r="B60" i="6"/>
  <c r="V62" i="5"/>
  <c r="X59" i="6"/>
  <c r="M59" i="3"/>
  <c r="K59" i="3"/>
  <c r="B62" i="5"/>
  <c r="B59" i="6"/>
  <c r="V61" i="5"/>
  <c r="X58" i="6"/>
  <c r="K58" i="3"/>
  <c r="M58" i="3"/>
  <c r="B61" i="5"/>
  <c r="B58" i="6"/>
  <c r="V60" i="5"/>
  <c r="X57" i="6"/>
  <c r="M57" i="3"/>
  <c r="K57" i="3"/>
  <c r="B57" i="6"/>
  <c r="B60" i="5"/>
  <c r="X56" i="6"/>
  <c r="V59" i="5"/>
  <c r="M56" i="3"/>
  <c r="K56" i="3"/>
  <c r="B56" i="6"/>
  <c r="B59" i="5"/>
  <c r="V58" i="5"/>
  <c r="X55" i="6"/>
  <c r="Q55" i="3"/>
  <c r="K55" i="3"/>
  <c r="M55" i="3"/>
  <c r="B58" i="5"/>
  <c r="B55" i="6"/>
  <c r="X54" i="6"/>
  <c r="V57" i="5"/>
  <c r="K54" i="3"/>
  <c r="M54" i="3"/>
  <c r="B57" i="5"/>
  <c r="B54" i="6"/>
  <c r="X53" i="6"/>
  <c r="V56" i="5"/>
  <c r="K53" i="3"/>
  <c r="M53" i="3"/>
  <c r="B53" i="6"/>
  <c r="B56" i="5"/>
  <c r="V55" i="5"/>
  <c r="X52" i="6"/>
  <c r="K52" i="3"/>
  <c r="M52" i="3"/>
  <c r="B52" i="6"/>
  <c r="B55" i="5"/>
  <c r="V54" i="5"/>
  <c r="X51" i="6"/>
  <c r="K51" i="3"/>
  <c r="M51" i="3"/>
  <c r="B51" i="6"/>
  <c r="B54" i="5"/>
  <c r="V53" i="5"/>
  <c r="X50" i="6"/>
  <c r="M50" i="3"/>
  <c r="K50" i="3"/>
  <c r="B50" i="6"/>
  <c r="B53" i="5"/>
  <c r="X49" i="6"/>
  <c r="V52" i="5"/>
  <c r="M49" i="3"/>
  <c r="K49" i="3"/>
  <c r="B52" i="5"/>
  <c r="B49" i="6"/>
  <c r="V51" i="5"/>
  <c r="X48" i="6"/>
  <c r="K48" i="3"/>
  <c r="M48" i="3"/>
  <c r="B51" i="5"/>
  <c r="B48" i="6"/>
  <c r="V50" i="5"/>
  <c r="X47" i="6"/>
  <c r="K47" i="3"/>
  <c r="M47" i="3"/>
  <c r="B50" i="5"/>
  <c r="B47" i="6"/>
  <c r="X46" i="6"/>
  <c r="V49" i="5"/>
  <c r="K46" i="3"/>
  <c r="M46" i="3"/>
  <c r="B49" i="5"/>
  <c r="B46" i="6"/>
  <c r="V48" i="5"/>
  <c r="X45" i="6"/>
  <c r="M45" i="3"/>
  <c r="K45" i="3"/>
  <c r="B45" i="6"/>
  <c r="B48" i="5"/>
  <c r="X44" i="6"/>
  <c r="V47" i="5"/>
  <c r="K44" i="3"/>
  <c r="M44" i="3"/>
  <c r="B44" i="6"/>
  <c r="B47" i="5"/>
  <c r="V46" i="5"/>
  <c r="X43" i="6"/>
  <c r="K43" i="3"/>
  <c r="M43" i="3"/>
  <c r="B43" i="6"/>
  <c r="B46" i="5"/>
  <c r="J42" i="3"/>
  <c r="X42" i="6"/>
  <c r="V45" i="5"/>
  <c r="B45" i="5"/>
  <c r="B42" i="6"/>
  <c r="X41" i="6"/>
  <c r="J41" i="3"/>
  <c r="I58" i="7" s="1"/>
  <c r="V44" i="5"/>
  <c r="B44" i="5"/>
  <c r="B41" i="6"/>
  <c r="J40" i="3"/>
  <c r="B7" i="8" s="1"/>
  <c r="V43" i="5"/>
  <c r="X40" i="6"/>
  <c r="B43" i="5"/>
  <c r="B40" i="6"/>
  <c r="V42" i="5"/>
  <c r="X39" i="6"/>
  <c r="N39" i="3"/>
  <c r="S39" i="3"/>
  <c r="T39" i="3" s="1"/>
  <c r="K39" i="3"/>
  <c r="M39" i="3"/>
  <c r="B39" i="6"/>
  <c r="B42" i="5"/>
  <c r="X38" i="6"/>
  <c r="V41" i="5"/>
  <c r="M38" i="3"/>
  <c r="K38" i="3"/>
  <c r="B41" i="5"/>
  <c r="B38" i="6"/>
  <c r="V40" i="5"/>
  <c r="X37" i="6"/>
  <c r="S37" i="3"/>
  <c r="T37" i="3" s="1"/>
  <c r="N37" i="3"/>
  <c r="M37" i="3"/>
  <c r="K37" i="3"/>
  <c r="B37" i="6"/>
  <c r="B40" i="5"/>
  <c r="V39" i="5"/>
  <c r="X36" i="6"/>
  <c r="K36" i="3"/>
  <c r="M36" i="3"/>
  <c r="B39" i="5"/>
  <c r="B36" i="6"/>
  <c r="V38" i="5"/>
  <c r="X35" i="6"/>
  <c r="M35" i="3"/>
  <c r="K35" i="3"/>
  <c r="B38" i="5"/>
  <c r="B35" i="6"/>
  <c r="V37" i="5"/>
  <c r="X34" i="6"/>
  <c r="S34" i="3"/>
  <c r="T34" i="3" s="1"/>
  <c r="N34" i="3"/>
  <c r="K34" i="3"/>
  <c r="M34" i="3"/>
  <c r="B37" i="5"/>
  <c r="B34" i="6"/>
  <c r="X33" i="6"/>
  <c r="V36" i="5"/>
  <c r="S33" i="3"/>
  <c r="T33" i="3" s="1"/>
  <c r="N33" i="3"/>
  <c r="K33" i="3"/>
  <c r="M33" i="3"/>
  <c r="B33" i="6"/>
  <c r="B36" i="5"/>
  <c r="X32" i="6"/>
  <c r="V35" i="5"/>
  <c r="N32" i="3"/>
  <c r="S32" i="3"/>
  <c r="T32" i="3" s="1"/>
  <c r="M32" i="3"/>
  <c r="K32" i="3"/>
  <c r="B32" i="6"/>
  <c r="B35" i="5"/>
  <c r="V34" i="5"/>
  <c r="X31" i="6"/>
  <c r="S31" i="3"/>
  <c r="T31" i="3" s="1"/>
  <c r="N31" i="3"/>
  <c r="K31" i="3"/>
  <c r="M31" i="3"/>
  <c r="B31" i="6"/>
  <c r="B34" i="5"/>
  <c r="X30" i="6"/>
  <c r="V33" i="5"/>
  <c r="N30" i="3"/>
  <c r="S30" i="3"/>
  <c r="T30" i="3" s="1"/>
  <c r="M30" i="3"/>
  <c r="K30" i="3"/>
  <c r="B33" i="5"/>
  <c r="B30" i="6"/>
  <c r="X29" i="6"/>
  <c r="V32" i="5"/>
  <c r="K29" i="3"/>
  <c r="M29" i="3"/>
  <c r="B32" i="5"/>
  <c r="B29" i="6"/>
  <c r="V31" i="5"/>
  <c r="X28" i="6"/>
  <c r="K28" i="3"/>
  <c r="M28" i="3"/>
  <c r="B28" i="6"/>
  <c r="B31" i="5"/>
  <c r="X27" i="6"/>
  <c r="V30" i="5"/>
  <c r="K27" i="3"/>
  <c r="M27" i="3"/>
  <c r="B27" i="6"/>
  <c r="B30" i="5"/>
  <c r="V29" i="5"/>
  <c r="X26" i="6"/>
  <c r="S26" i="3"/>
  <c r="T26" i="3" s="1"/>
  <c r="K26" i="3"/>
  <c r="M26" i="3"/>
  <c r="B26" i="6"/>
  <c r="B29" i="5"/>
  <c r="V28" i="5"/>
  <c r="X25" i="6"/>
  <c r="K25" i="3"/>
  <c r="M25" i="3"/>
  <c r="B28" i="5"/>
  <c r="B25" i="6"/>
  <c r="X24" i="6"/>
  <c r="V27" i="5"/>
  <c r="S24" i="3"/>
  <c r="T24" i="3" s="1"/>
  <c r="M24" i="3"/>
  <c r="K24" i="3"/>
  <c r="B27" i="5"/>
  <c r="B24" i="6"/>
  <c r="X23" i="6"/>
  <c r="V26" i="5"/>
  <c r="M23" i="3"/>
  <c r="K23" i="3"/>
  <c r="B23" i="6"/>
  <c r="B26" i="5"/>
  <c r="X22" i="6"/>
  <c r="V25" i="5"/>
  <c r="K22" i="3"/>
  <c r="M22" i="3"/>
  <c r="B25" i="5"/>
  <c r="B22" i="6"/>
  <c r="X21" i="6"/>
  <c r="V24" i="5"/>
  <c r="K21" i="3"/>
  <c r="M21" i="3"/>
  <c r="B21" i="6"/>
  <c r="B24" i="5"/>
  <c r="V23" i="5"/>
  <c r="X20" i="6"/>
  <c r="S20" i="3"/>
  <c r="T20" i="3" s="1"/>
  <c r="N20" i="3"/>
  <c r="K20" i="3"/>
  <c r="M20" i="3"/>
  <c r="B20" i="6"/>
  <c r="B23" i="5"/>
  <c r="V22" i="5"/>
  <c r="X19" i="6"/>
  <c r="M19" i="3"/>
  <c r="K19" i="3"/>
  <c r="B22" i="5"/>
  <c r="B19" i="6"/>
  <c r="X18" i="6"/>
  <c r="V21" i="5"/>
  <c r="S18" i="3"/>
  <c r="T18" i="3" s="1"/>
  <c r="M18" i="3"/>
  <c r="K18" i="3"/>
  <c r="B21" i="5"/>
  <c r="B18" i="6"/>
  <c r="X17" i="6"/>
  <c r="V20" i="5"/>
  <c r="M17" i="3"/>
  <c r="K17" i="3"/>
  <c r="B17" i="6"/>
  <c r="B20" i="5"/>
  <c r="X16" i="6"/>
  <c r="V19" i="5"/>
  <c r="M16" i="3"/>
  <c r="K16" i="3"/>
  <c r="B16" i="6"/>
  <c r="B19" i="5"/>
  <c r="X15" i="6"/>
  <c r="V18" i="5"/>
  <c r="S15" i="3"/>
  <c r="T15" i="3" s="1"/>
  <c r="K15" i="3"/>
  <c r="Q15" i="3"/>
  <c r="M15" i="3"/>
  <c r="B15" i="6"/>
  <c r="B18" i="5"/>
  <c r="X14" i="6"/>
  <c r="V17" i="5"/>
  <c r="K14" i="3"/>
  <c r="M14" i="3"/>
  <c r="B14" i="6"/>
  <c r="B17" i="5"/>
  <c r="X13" i="6"/>
  <c r="V16" i="5"/>
  <c r="S13" i="3"/>
  <c r="T13" i="3" s="1"/>
  <c r="N13" i="3"/>
  <c r="M13" i="3"/>
  <c r="K13" i="3"/>
  <c r="B13" i="6"/>
  <c r="B16" i="5"/>
  <c r="X12" i="6"/>
  <c r="V15" i="5"/>
  <c r="S12" i="3"/>
  <c r="T12" i="3" s="1"/>
  <c r="K12" i="3"/>
  <c r="M12" i="3"/>
  <c r="B15" i="5"/>
  <c r="B12" i="6"/>
  <c r="X11" i="6"/>
  <c r="V14" i="5"/>
  <c r="M11" i="3"/>
  <c r="K11" i="3"/>
  <c r="B11" i="6"/>
  <c r="B14" i="5"/>
  <c r="X10" i="6"/>
  <c r="V13" i="5"/>
  <c r="S10" i="3"/>
  <c r="T10" i="3" s="1"/>
  <c r="M10" i="3"/>
  <c r="K10" i="3"/>
  <c r="B10" i="6"/>
  <c r="B13" i="5"/>
  <c r="X9" i="6"/>
  <c r="V12" i="5"/>
  <c r="S9" i="3"/>
  <c r="T9" i="3" s="1"/>
  <c r="M9" i="3"/>
  <c r="K9" i="3"/>
  <c r="B9" i="6"/>
  <c r="B12" i="5"/>
  <c r="X8" i="6"/>
  <c r="V11" i="5"/>
  <c r="S8" i="3"/>
  <c r="T8" i="3" s="1"/>
  <c r="M8" i="3"/>
  <c r="K8" i="3"/>
  <c r="B8" i="6"/>
  <c r="B11" i="5"/>
  <c r="X7" i="6"/>
  <c r="V10" i="5"/>
  <c r="S7" i="3"/>
  <c r="T7" i="3" s="1"/>
  <c r="K7" i="3"/>
  <c r="Q7" i="3"/>
  <c r="M7" i="3"/>
  <c r="B7" i="6"/>
  <c r="B10" i="5"/>
  <c r="X6" i="6"/>
  <c r="V9" i="5"/>
  <c r="S6" i="3"/>
  <c r="M6" i="3"/>
  <c r="K6" i="3"/>
  <c r="B9" i="5"/>
  <c r="B6" i="8"/>
  <c r="B6" i="6"/>
  <c r="N28" i="3"/>
  <c r="I63" i="7" l="1"/>
  <c r="N38" i="3"/>
  <c r="N29" i="3"/>
  <c r="N35" i="3"/>
  <c r="N12" i="3"/>
  <c r="N10" i="3"/>
  <c r="N8" i="3"/>
  <c r="N6" i="3"/>
  <c r="N23" i="3"/>
  <c r="N27" i="3"/>
  <c r="N25" i="3"/>
  <c r="E22" i="7"/>
  <c r="F22" i="7"/>
  <c r="G22" i="7"/>
  <c r="H22" i="7"/>
  <c r="I22" i="7"/>
  <c r="J22" i="7"/>
  <c r="K22" i="7"/>
  <c r="L22" i="7"/>
  <c r="E21" i="7"/>
  <c r="F21" i="7"/>
  <c r="G21" i="7"/>
  <c r="H21" i="7"/>
  <c r="I21" i="7"/>
  <c r="J21" i="7"/>
  <c r="K21" i="7"/>
  <c r="L21" i="7"/>
  <c r="E20" i="7"/>
  <c r="F20" i="7"/>
  <c r="G20" i="7"/>
  <c r="H20" i="7"/>
  <c r="I20" i="7"/>
  <c r="J20" i="7"/>
  <c r="K20" i="7"/>
  <c r="L20" i="7"/>
  <c r="E19" i="7"/>
  <c r="F19" i="7"/>
  <c r="F23" i="7" s="1"/>
  <c r="G19" i="7"/>
  <c r="G23" i="7" s="1"/>
  <c r="H19" i="7"/>
  <c r="H23" i="7" s="1"/>
  <c r="I19" i="7"/>
  <c r="I23" i="7" s="1"/>
  <c r="J19" i="7"/>
  <c r="J23" i="7" s="1"/>
  <c r="K19" i="7"/>
  <c r="K23" i="7" s="1"/>
  <c r="L19" i="7"/>
  <c r="D68" i="5"/>
  <c r="G68" i="5"/>
  <c r="E68" i="5"/>
  <c r="T68" i="5"/>
  <c r="U68" i="5" s="1"/>
  <c r="C68" i="5"/>
  <c r="F68" i="5"/>
  <c r="C65" i="6"/>
  <c r="D65" i="6"/>
  <c r="E65" i="6"/>
  <c r="F65" i="6"/>
  <c r="G65" i="6"/>
  <c r="H65" i="6"/>
  <c r="I65" i="6"/>
  <c r="J65" i="6"/>
  <c r="Q65" i="6"/>
  <c r="S65" i="6"/>
  <c r="W65" i="6"/>
  <c r="E67" i="5"/>
  <c r="T67" i="5"/>
  <c r="C67" i="5"/>
  <c r="D67" i="5"/>
  <c r="F67" i="5"/>
  <c r="G67" i="5"/>
  <c r="C64" i="6"/>
  <c r="D64" i="6"/>
  <c r="E64" i="6"/>
  <c r="F64" i="6"/>
  <c r="G64" i="6"/>
  <c r="H64" i="6"/>
  <c r="I64" i="6"/>
  <c r="J64" i="6"/>
  <c r="Q64" i="6"/>
  <c r="S64" i="6"/>
  <c r="W64" i="6"/>
  <c r="C63" i="6"/>
  <c r="D63" i="6"/>
  <c r="E63" i="6"/>
  <c r="F63" i="6"/>
  <c r="G63" i="6"/>
  <c r="H63" i="6"/>
  <c r="I63" i="6"/>
  <c r="J63" i="6"/>
  <c r="Q63" i="6"/>
  <c r="S63" i="6"/>
  <c r="W63" i="6"/>
  <c r="E66" i="5"/>
  <c r="F66" i="5"/>
  <c r="T66" i="5"/>
  <c r="D66" i="5"/>
  <c r="C66" i="5"/>
  <c r="G66" i="5"/>
  <c r="F65" i="5"/>
  <c r="G65" i="5"/>
  <c r="T65" i="5"/>
  <c r="U65" i="5" s="1"/>
  <c r="C65" i="5"/>
  <c r="D65" i="5"/>
  <c r="E65" i="5"/>
  <c r="C62" i="6"/>
  <c r="D62" i="6"/>
  <c r="E62" i="6"/>
  <c r="F62" i="6"/>
  <c r="G62" i="6"/>
  <c r="H62" i="6"/>
  <c r="I62" i="6"/>
  <c r="J62" i="6"/>
  <c r="Q62" i="6"/>
  <c r="S62" i="6"/>
  <c r="W62" i="6"/>
  <c r="C64" i="5"/>
  <c r="D64" i="5"/>
  <c r="F64" i="5"/>
  <c r="G64" i="5"/>
  <c r="T64" i="5"/>
  <c r="U64" i="5" s="1"/>
  <c r="E64" i="5"/>
  <c r="C61" i="6"/>
  <c r="D61" i="6"/>
  <c r="E61" i="6"/>
  <c r="F61" i="6"/>
  <c r="G61" i="6"/>
  <c r="H61" i="6"/>
  <c r="I61" i="6"/>
  <c r="J61" i="6"/>
  <c r="Q61" i="6"/>
  <c r="S61" i="6"/>
  <c r="W61" i="6"/>
  <c r="D63" i="5"/>
  <c r="G63" i="5"/>
  <c r="E63" i="5"/>
  <c r="F63" i="5"/>
  <c r="T63" i="5"/>
  <c r="U63" i="5" s="1"/>
  <c r="C63" i="5"/>
  <c r="C60" i="6"/>
  <c r="D60" i="6"/>
  <c r="F60" i="6"/>
  <c r="G60" i="6"/>
  <c r="H60" i="6"/>
  <c r="I60" i="6"/>
  <c r="J60" i="6"/>
  <c r="Q60" i="6"/>
  <c r="S60" i="6"/>
  <c r="W60" i="6"/>
  <c r="E60" i="6"/>
  <c r="F62" i="5"/>
  <c r="T62" i="5"/>
  <c r="E62" i="5"/>
  <c r="C62" i="5"/>
  <c r="G62" i="5"/>
  <c r="D62" i="5"/>
  <c r="C59" i="6"/>
  <c r="D59" i="6"/>
  <c r="E59" i="6"/>
  <c r="F59" i="6"/>
  <c r="G59" i="6"/>
  <c r="H59" i="6"/>
  <c r="I59" i="6"/>
  <c r="J59" i="6"/>
  <c r="Q59" i="6"/>
  <c r="S59" i="6"/>
  <c r="W59" i="6"/>
  <c r="G61" i="5"/>
  <c r="E61" i="5"/>
  <c r="T61" i="5"/>
  <c r="F61" i="5"/>
  <c r="C61" i="5"/>
  <c r="D61" i="5"/>
  <c r="C58" i="6"/>
  <c r="D58" i="6"/>
  <c r="E58" i="6"/>
  <c r="F58" i="6"/>
  <c r="G58" i="6"/>
  <c r="H58" i="6"/>
  <c r="I58" i="6"/>
  <c r="J58" i="6"/>
  <c r="Q58" i="6"/>
  <c r="S58" i="6"/>
  <c r="W58" i="6"/>
  <c r="C57" i="6"/>
  <c r="D57" i="6"/>
  <c r="E57" i="6"/>
  <c r="F57" i="6"/>
  <c r="G57" i="6"/>
  <c r="H57" i="6"/>
  <c r="I57" i="6"/>
  <c r="J57" i="6"/>
  <c r="Q57" i="6"/>
  <c r="S57" i="6"/>
  <c r="W57" i="6"/>
  <c r="G60" i="5"/>
  <c r="C60" i="5"/>
  <c r="D60" i="5"/>
  <c r="T60" i="5"/>
  <c r="U60" i="5" s="1"/>
  <c r="F60" i="5"/>
  <c r="E60" i="5"/>
  <c r="C56" i="6"/>
  <c r="D56" i="6"/>
  <c r="E56" i="6"/>
  <c r="F56" i="6"/>
  <c r="G56" i="6"/>
  <c r="H56" i="6"/>
  <c r="I56" i="6"/>
  <c r="J56" i="6"/>
  <c r="Q56" i="6"/>
  <c r="S56" i="6"/>
  <c r="W56" i="6"/>
  <c r="C59" i="5"/>
  <c r="E59" i="5"/>
  <c r="D59" i="5"/>
  <c r="G59" i="5"/>
  <c r="T59" i="5"/>
  <c r="U59" i="5" s="1"/>
  <c r="F59" i="5"/>
  <c r="C58" i="5"/>
  <c r="E58" i="5"/>
  <c r="G58" i="5"/>
  <c r="T58" i="5"/>
  <c r="U58" i="5" s="1"/>
  <c r="D58" i="5"/>
  <c r="F58" i="5"/>
  <c r="C55" i="6"/>
  <c r="D55" i="6"/>
  <c r="E55" i="6"/>
  <c r="F55" i="6"/>
  <c r="G55" i="6"/>
  <c r="H55" i="6"/>
  <c r="I55" i="6"/>
  <c r="J55" i="6"/>
  <c r="Q55" i="6"/>
  <c r="S55" i="6"/>
  <c r="W55" i="6"/>
  <c r="D57" i="5"/>
  <c r="F57" i="5"/>
  <c r="C57" i="5"/>
  <c r="E57" i="5"/>
  <c r="G57" i="5"/>
  <c r="T57" i="5"/>
  <c r="U57" i="5" s="1"/>
  <c r="C54" i="6"/>
  <c r="D54" i="6"/>
  <c r="E54" i="6"/>
  <c r="F54" i="6"/>
  <c r="G54" i="6"/>
  <c r="H54" i="6"/>
  <c r="I54" i="6"/>
  <c r="J54" i="6"/>
  <c r="Q54" i="6"/>
  <c r="S54" i="6"/>
  <c r="W54" i="6"/>
  <c r="C53" i="6"/>
  <c r="D53" i="6"/>
  <c r="E53" i="6"/>
  <c r="F53" i="6"/>
  <c r="G53" i="6"/>
  <c r="H53" i="6"/>
  <c r="I53" i="6"/>
  <c r="J53" i="6"/>
  <c r="Q53" i="6"/>
  <c r="S53" i="6"/>
  <c r="W53" i="6"/>
  <c r="E56" i="5"/>
  <c r="D56" i="5"/>
  <c r="F56" i="5"/>
  <c r="T56" i="5"/>
  <c r="C56" i="5"/>
  <c r="G56" i="5"/>
  <c r="C52" i="6"/>
  <c r="D52" i="6"/>
  <c r="E52" i="6"/>
  <c r="F52" i="6"/>
  <c r="G52" i="6"/>
  <c r="H52" i="6"/>
  <c r="I52" i="6"/>
  <c r="J52" i="6"/>
  <c r="Q52" i="6"/>
  <c r="S52" i="6"/>
  <c r="W52" i="6"/>
  <c r="C55" i="5"/>
  <c r="D55" i="5"/>
  <c r="T55" i="5"/>
  <c r="F55" i="5"/>
  <c r="E55" i="5"/>
  <c r="G55" i="5"/>
  <c r="C51" i="6"/>
  <c r="D51" i="6"/>
  <c r="E51" i="6"/>
  <c r="F51" i="6"/>
  <c r="G51" i="6"/>
  <c r="H51" i="6"/>
  <c r="I51" i="6"/>
  <c r="J51" i="6"/>
  <c r="Q51" i="6"/>
  <c r="S51" i="6"/>
  <c r="W51" i="6"/>
  <c r="D54" i="5"/>
  <c r="C54" i="5"/>
  <c r="E54" i="5"/>
  <c r="T54" i="5"/>
  <c r="G54" i="5"/>
  <c r="F54" i="5"/>
  <c r="C50" i="6"/>
  <c r="D50" i="6"/>
  <c r="E50" i="6"/>
  <c r="F50" i="6"/>
  <c r="G50" i="6"/>
  <c r="H50" i="6"/>
  <c r="I50" i="6"/>
  <c r="J50" i="6"/>
  <c r="Q50" i="6"/>
  <c r="S50" i="6"/>
  <c r="W50" i="6"/>
  <c r="F53" i="5"/>
  <c r="D53" i="5"/>
  <c r="G53" i="5"/>
  <c r="C53" i="5"/>
  <c r="E53" i="5"/>
  <c r="T53" i="5"/>
  <c r="U53" i="5" s="1"/>
  <c r="D52" i="5"/>
  <c r="F52" i="5"/>
  <c r="T52" i="5"/>
  <c r="C52" i="5"/>
  <c r="E52" i="5"/>
  <c r="G52" i="5"/>
  <c r="C49" i="6"/>
  <c r="D49" i="6"/>
  <c r="E49" i="6"/>
  <c r="F49" i="6"/>
  <c r="G49" i="6"/>
  <c r="H49" i="6"/>
  <c r="I49" i="6"/>
  <c r="J49" i="6"/>
  <c r="Q49" i="6"/>
  <c r="S49" i="6"/>
  <c r="W49" i="6"/>
  <c r="C51" i="5"/>
  <c r="E51" i="5"/>
  <c r="F51" i="5"/>
  <c r="T51" i="5"/>
  <c r="G51" i="5"/>
  <c r="D51" i="5"/>
  <c r="C48" i="6"/>
  <c r="D48" i="6"/>
  <c r="E48" i="6"/>
  <c r="F48" i="6"/>
  <c r="G48" i="6"/>
  <c r="H48" i="6"/>
  <c r="I48" i="6"/>
  <c r="J48" i="6"/>
  <c r="Q48" i="6"/>
  <c r="S48" i="6"/>
  <c r="W48" i="6"/>
  <c r="D50" i="5"/>
  <c r="G50" i="5"/>
  <c r="F50" i="5"/>
  <c r="T50" i="5"/>
  <c r="C50" i="5"/>
  <c r="E50" i="5"/>
  <c r="C47" i="6"/>
  <c r="D47" i="6"/>
  <c r="E47" i="6"/>
  <c r="F47" i="6"/>
  <c r="G47" i="6"/>
  <c r="H47" i="6"/>
  <c r="I47" i="6"/>
  <c r="J47" i="6"/>
  <c r="Q47" i="6"/>
  <c r="S47" i="6"/>
  <c r="W47" i="6"/>
  <c r="G49" i="5"/>
  <c r="E49" i="5"/>
  <c r="D49" i="5"/>
  <c r="F49" i="5"/>
  <c r="T49" i="5"/>
  <c r="U49" i="5" s="1"/>
  <c r="C49" i="5"/>
  <c r="E46" i="6"/>
  <c r="I46" i="6"/>
  <c r="C46" i="6"/>
  <c r="D46" i="6"/>
  <c r="F46" i="6"/>
  <c r="G46" i="6"/>
  <c r="H46" i="6"/>
  <c r="J46" i="6"/>
  <c r="Q46" i="6"/>
  <c r="S46" i="6"/>
  <c r="W46" i="6"/>
  <c r="C45" i="6"/>
  <c r="D45" i="6"/>
  <c r="E45" i="6"/>
  <c r="F45" i="6"/>
  <c r="G45" i="6"/>
  <c r="H45" i="6"/>
  <c r="I45" i="6"/>
  <c r="J45" i="6"/>
  <c r="Q45" i="6"/>
  <c r="S45" i="6"/>
  <c r="W45" i="6"/>
  <c r="T48" i="5"/>
  <c r="G48" i="5"/>
  <c r="F48" i="5"/>
  <c r="E48" i="5"/>
  <c r="D48" i="5"/>
  <c r="C48" i="5"/>
  <c r="C44" i="6"/>
  <c r="D44" i="6"/>
  <c r="E44" i="6"/>
  <c r="F44" i="6"/>
  <c r="G44" i="6"/>
  <c r="H44" i="6"/>
  <c r="I44" i="6"/>
  <c r="J44" i="6"/>
  <c r="Q44" i="6"/>
  <c r="S44" i="6"/>
  <c r="W44" i="6"/>
  <c r="F47" i="5"/>
  <c r="E47" i="5"/>
  <c r="C47" i="5"/>
  <c r="T47" i="5"/>
  <c r="D47" i="5"/>
  <c r="G47" i="5"/>
  <c r="C43" i="6"/>
  <c r="D43" i="6"/>
  <c r="E43" i="6"/>
  <c r="F43" i="6"/>
  <c r="G43" i="6"/>
  <c r="H43" i="6"/>
  <c r="I43" i="6"/>
  <c r="J43" i="6"/>
  <c r="Q43" i="6"/>
  <c r="S43" i="6"/>
  <c r="W43" i="6"/>
  <c r="C46" i="5"/>
  <c r="D46" i="5"/>
  <c r="E46" i="5"/>
  <c r="F46" i="5"/>
  <c r="G46" i="5"/>
  <c r="T46" i="5"/>
  <c r="U46" i="5" s="1"/>
  <c r="Q42" i="3"/>
  <c r="N42" i="3" s="1"/>
  <c r="M42" i="3"/>
  <c r="K42" i="3"/>
  <c r="C45" i="5"/>
  <c r="D45" i="5"/>
  <c r="E45" i="5"/>
  <c r="F45" i="5"/>
  <c r="G45" i="5"/>
  <c r="T45" i="5"/>
  <c r="U45" i="5" s="1"/>
  <c r="C42" i="6"/>
  <c r="D42" i="6"/>
  <c r="E42" i="6"/>
  <c r="F42" i="6"/>
  <c r="G42" i="6"/>
  <c r="H42" i="6"/>
  <c r="I42" i="6"/>
  <c r="J42" i="6" s="1"/>
  <c r="Q42" i="6"/>
  <c r="W42" i="6"/>
  <c r="Q41" i="3"/>
  <c r="N41" i="3" s="1"/>
  <c r="H16" i="2"/>
  <c r="K41" i="3"/>
  <c r="M41" i="3"/>
  <c r="C44" i="5"/>
  <c r="D44" i="5"/>
  <c r="E44" i="5"/>
  <c r="F44" i="5"/>
  <c r="G44" i="5"/>
  <c r="T44" i="5"/>
  <c r="U44" i="5" s="1"/>
  <c r="C41" i="6"/>
  <c r="D41" i="6"/>
  <c r="E41" i="6"/>
  <c r="F41" i="6"/>
  <c r="G41" i="6"/>
  <c r="H41" i="6"/>
  <c r="I41" i="6"/>
  <c r="J41" i="6" s="1"/>
  <c r="Q41" i="6"/>
  <c r="W41" i="6"/>
  <c r="Q40" i="3"/>
  <c r="N40" i="3" s="1"/>
  <c r="M40" i="3"/>
  <c r="K40" i="3"/>
  <c r="H15" i="2"/>
  <c r="C43" i="5"/>
  <c r="D43" i="5"/>
  <c r="E43" i="5"/>
  <c r="F43" i="5"/>
  <c r="G43" i="5"/>
  <c r="T43" i="5"/>
  <c r="U43" i="5" s="1"/>
  <c r="C40" i="6"/>
  <c r="D40" i="6"/>
  <c r="E40" i="6"/>
  <c r="F40" i="6"/>
  <c r="G40" i="6"/>
  <c r="H40" i="6"/>
  <c r="I40" i="6"/>
  <c r="J40" i="6" s="1"/>
  <c r="Q40" i="6"/>
  <c r="W40" i="6"/>
  <c r="C39" i="6"/>
  <c r="D39" i="6"/>
  <c r="E39" i="6"/>
  <c r="G39" i="6"/>
  <c r="H39" i="6"/>
  <c r="I39" i="6"/>
  <c r="J39" i="6" s="1"/>
  <c r="Q39" i="6"/>
  <c r="W39" i="6"/>
  <c r="F39" i="6"/>
  <c r="C42" i="5"/>
  <c r="D42" i="5"/>
  <c r="E42" i="5"/>
  <c r="F42" i="5"/>
  <c r="G42" i="5"/>
  <c r="T42" i="5"/>
  <c r="U42" i="5" s="1"/>
  <c r="C41" i="5"/>
  <c r="D41" i="5"/>
  <c r="E41" i="5"/>
  <c r="F41" i="5"/>
  <c r="G41" i="5"/>
  <c r="T41" i="5"/>
  <c r="U41" i="5" s="1"/>
  <c r="C38" i="6"/>
  <c r="D38" i="6"/>
  <c r="E38" i="6"/>
  <c r="F38" i="6"/>
  <c r="G38" i="6"/>
  <c r="H38" i="6"/>
  <c r="I38" i="6"/>
  <c r="J38" i="6"/>
  <c r="Q38" i="6"/>
  <c r="W38" i="6"/>
  <c r="C37" i="6"/>
  <c r="D37" i="6"/>
  <c r="E37" i="6"/>
  <c r="F37" i="6"/>
  <c r="G37" i="6"/>
  <c r="H37" i="6"/>
  <c r="I37" i="6"/>
  <c r="J37" i="6"/>
  <c r="Q37" i="6"/>
  <c r="W37" i="6"/>
  <c r="C40" i="5"/>
  <c r="D40" i="5"/>
  <c r="E40" i="5"/>
  <c r="F40" i="5"/>
  <c r="G40" i="5"/>
  <c r="T40" i="5"/>
  <c r="U40" i="5" s="1"/>
  <c r="C39" i="5"/>
  <c r="D39" i="5"/>
  <c r="E39" i="5"/>
  <c r="F39" i="5"/>
  <c r="G39" i="5"/>
  <c r="T39" i="5"/>
  <c r="U39" i="5" s="1"/>
  <c r="C36" i="6"/>
  <c r="D36" i="6"/>
  <c r="E36" i="6"/>
  <c r="F36" i="6"/>
  <c r="G36" i="6"/>
  <c r="H36" i="6"/>
  <c r="I36" i="6"/>
  <c r="J36" i="6" s="1"/>
  <c r="Q36" i="6"/>
  <c r="W36" i="6"/>
  <c r="C38" i="5"/>
  <c r="D38" i="5"/>
  <c r="E38" i="5"/>
  <c r="F38" i="5"/>
  <c r="G38" i="5"/>
  <c r="T38" i="5"/>
  <c r="C35" i="6"/>
  <c r="D35" i="6"/>
  <c r="E35" i="6"/>
  <c r="F35" i="6"/>
  <c r="G35" i="6"/>
  <c r="H35" i="6"/>
  <c r="I35" i="6"/>
  <c r="J35" i="6"/>
  <c r="Q35" i="6"/>
  <c r="W35" i="6"/>
  <c r="C37" i="5"/>
  <c r="D37" i="5"/>
  <c r="E37" i="5"/>
  <c r="F37" i="5"/>
  <c r="G37" i="5"/>
  <c r="T37" i="5"/>
  <c r="U37" i="5" s="1"/>
  <c r="C34" i="6"/>
  <c r="D34" i="6"/>
  <c r="E34" i="6"/>
  <c r="F34" i="6"/>
  <c r="G34" i="6"/>
  <c r="H34" i="6"/>
  <c r="I34" i="6"/>
  <c r="J34" i="6" s="1"/>
  <c r="Q34" i="6"/>
  <c r="W34" i="6"/>
  <c r="C33" i="6"/>
  <c r="D33" i="6"/>
  <c r="E33" i="6"/>
  <c r="F33" i="6"/>
  <c r="G33" i="6"/>
  <c r="H33" i="6"/>
  <c r="I33" i="6"/>
  <c r="J33" i="6" s="1"/>
  <c r="Q33" i="6"/>
  <c r="W33" i="6"/>
  <c r="C36" i="5"/>
  <c r="D36" i="5"/>
  <c r="E36" i="5"/>
  <c r="F36" i="5"/>
  <c r="G36" i="5"/>
  <c r="T36" i="5"/>
  <c r="U36" i="5" s="1"/>
  <c r="C32" i="6"/>
  <c r="D32" i="6"/>
  <c r="E32" i="6"/>
  <c r="F32" i="6"/>
  <c r="G32" i="6"/>
  <c r="H32" i="6"/>
  <c r="I32" i="6"/>
  <c r="J32" i="6"/>
  <c r="Q32" i="6"/>
  <c r="W32" i="6"/>
  <c r="C35" i="5"/>
  <c r="D35" i="5"/>
  <c r="E35" i="5"/>
  <c r="F35" i="5"/>
  <c r="G35" i="5"/>
  <c r="T35" i="5"/>
  <c r="U35" i="5" s="1"/>
  <c r="C31" i="6"/>
  <c r="D31" i="6"/>
  <c r="E31" i="6"/>
  <c r="F31" i="6"/>
  <c r="G31" i="6"/>
  <c r="H31" i="6"/>
  <c r="I31" i="6"/>
  <c r="J31" i="6"/>
  <c r="Q31" i="6"/>
  <c r="W31" i="6"/>
  <c r="C34" i="5"/>
  <c r="D34" i="5"/>
  <c r="E34" i="5"/>
  <c r="F34" i="5"/>
  <c r="G34" i="5"/>
  <c r="T34" i="5"/>
  <c r="U34" i="5" s="1"/>
  <c r="C33" i="5"/>
  <c r="D33" i="5"/>
  <c r="E33" i="5"/>
  <c r="F33" i="5"/>
  <c r="G33" i="5"/>
  <c r="T33" i="5"/>
  <c r="U33" i="5" s="1"/>
  <c r="C30" i="6"/>
  <c r="D30" i="6"/>
  <c r="E30" i="6"/>
  <c r="F30" i="6"/>
  <c r="G30" i="6"/>
  <c r="H30" i="6"/>
  <c r="I30" i="6"/>
  <c r="J30" i="6"/>
  <c r="Q30" i="6"/>
  <c r="W30" i="6"/>
  <c r="C32" i="5"/>
  <c r="D32" i="5"/>
  <c r="E32" i="5"/>
  <c r="F32" i="5"/>
  <c r="G32" i="5"/>
  <c r="T32" i="5"/>
  <c r="U32" i="5" s="1"/>
  <c r="C29" i="6"/>
  <c r="D29" i="6"/>
  <c r="E29" i="6"/>
  <c r="F29" i="6"/>
  <c r="G29" i="6"/>
  <c r="H29" i="6"/>
  <c r="I29" i="6"/>
  <c r="J29" i="6"/>
  <c r="Q29" i="6"/>
  <c r="W29" i="6"/>
  <c r="C28" i="6"/>
  <c r="D28" i="6"/>
  <c r="E28" i="6"/>
  <c r="F28" i="6"/>
  <c r="G28" i="6"/>
  <c r="H28" i="6"/>
  <c r="I28" i="6"/>
  <c r="J28" i="6"/>
  <c r="Q28" i="6"/>
  <c r="W28" i="6"/>
  <c r="C31" i="5"/>
  <c r="D31" i="5"/>
  <c r="E31" i="5"/>
  <c r="F31" i="5"/>
  <c r="G31" i="5"/>
  <c r="T31" i="5"/>
  <c r="U31" i="5" s="1"/>
  <c r="C27" i="6"/>
  <c r="D27" i="6"/>
  <c r="E27" i="6"/>
  <c r="F27" i="6"/>
  <c r="G27" i="6"/>
  <c r="H27" i="6"/>
  <c r="I27" i="6"/>
  <c r="J27" i="6"/>
  <c r="Q27" i="6"/>
  <c r="W27" i="6"/>
  <c r="C30" i="5"/>
  <c r="D30" i="5"/>
  <c r="E30" i="5"/>
  <c r="F30" i="5"/>
  <c r="G30" i="5"/>
  <c r="T30" i="5"/>
  <c r="U30" i="5" s="1"/>
  <c r="D26" i="6"/>
  <c r="H26" i="6"/>
  <c r="Q26" i="6"/>
  <c r="W26" i="6"/>
  <c r="C26" i="6"/>
  <c r="E26" i="6"/>
  <c r="F26" i="6"/>
  <c r="G26" i="6"/>
  <c r="I26" i="6"/>
  <c r="J26" i="6"/>
  <c r="C29" i="5"/>
  <c r="F29" i="5"/>
  <c r="T29" i="5"/>
  <c r="D29" i="5"/>
  <c r="E29" i="5"/>
  <c r="G29" i="5"/>
  <c r="C28" i="5"/>
  <c r="D28" i="5"/>
  <c r="E28" i="5"/>
  <c r="F28" i="5"/>
  <c r="G28" i="5"/>
  <c r="T28" i="5"/>
  <c r="U28" i="5" s="1"/>
  <c r="C25" i="6"/>
  <c r="D25" i="6"/>
  <c r="G25" i="6"/>
  <c r="I25" i="6"/>
  <c r="J25" i="6" s="1"/>
  <c r="E25" i="6"/>
  <c r="F25" i="6"/>
  <c r="H25" i="6"/>
  <c r="Q25" i="6"/>
  <c r="W25" i="6"/>
  <c r="C27" i="5"/>
  <c r="D27" i="5"/>
  <c r="E27" i="5"/>
  <c r="F27" i="5"/>
  <c r="G27" i="5"/>
  <c r="T27" i="5"/>
  <c r="U27" i="5" s="1"/>
  <c r="C24" i="6"/>
  <c r="D24" i="6"/>
  <c r="E24" i="6"/>
  <c r="F24" i="6"/>
  <c r="G24" i="6"/>
  <c r="H24" i="6"/>
  <c r="I24" i="6"/>
  <c r="J24" i="6"/>
  <c r="Q24" i="6"/>
  <c r="W24" i="6"/>
  <c r="C23" i="6"/>
  <c r="D23" i="6"/>
  <c r="E23" i="6"/>
  <c r="F23" i="6"/>
  <c r="G23" i="6"/>
  <c r="H23" i="6"/>
  <c r="I23" i="6"/>
  <c r="J23" i="6" s="1"/>
  <c r="Q23" i="6"/>
  <c r="W23" i="6"/>
  <c r="C26" i="5"/>
  <c r="D26" i="5"/>
  <c r="E26" i="5"/>
  <c r="F26" i="5"/>
  <c r="G26" i="5"/>
  <c r="T26" i="5"/>
  <c r="U26" i="5" s="1"/>
  <c r="C25" i="5"/>
  <c r="D25" i="5"/>
  <c r="E25" i="5"/>
  <c r="F25" i="5"/>
  <c r="G25" i="5"/>
  <c r="T25" i="5"/>
  <c r="U25" i="5" s="1"/>
  <c r="C22" i="6"/>
  <c r="D22" i="6"/>
  <c r="E22" i="6"/>
  <c r="F22" i="6"/>
  <c r="G22" i="6"/>
  <c r="H22" i="6"/>
  <c r="I22" i="6"/>
  <c r="J22" i="6" s="1"/>
  <c r="Q22" i="6"/>
  <c r="W22" i="6"/>
  <c r="C21" i="6"/>
  <c r="D21" i="6"/>
  <c r="E21" i="6"/>
  <c r="F21" i="6"/>
  <c r="G21" i="6"/>
  <c r="H21" i="6"/>
  <c r="I21" i="6"/>
  <c r="J21" i="6" s="1"/>
  <c r="Q21" i="6"/>
  <c r="W21" i="6"/>
  <c r="C24" i="5"/>
  <c r="D24" i="5"/>
  <c r="E24" i="5"/>
  <c r="F24" i="5"/>
  <c r="G24" i="5"/>
  <c r="T24" i="5"/>
  <c r="U24" i="5" s="1"/>
  <c r="C20" i="6"/>
  <c r="D20" i="6"/>
  <c r="E20" i="6"/>
  <c r="F20" i="6"/>
  <c r="G20" i="6"/>
  <c r="H20" i="6"/>
  <c r="I20" i="6"/>
  <c r="J20" i="6"/>
  <c r="Q20" i="6"/>
  <c r="W20" i="6"/>
  <c r="C23" i="5"/>
  <c r="D23" i="5"/>
  <c r="E23" i="5"/>
  <c r="F23" i="5"/>
  <c r="G23" i="5"/>
  <c r="T23" i="5"/>
  <c r="U23" i="5" s="1"/>
  <c r="C22" i="5"/>
  <c r="D22" i="5"/>
  <c r="E22" i="5"/>
  <c r="F22" i="5"/>
  <c r="G22" i="5"/>
  <c r="T22" i="5"/>
  <c r="U22" i="5" s="1"/>
  <c r="C19" i="6"/>
  <c r="D19" i="6"/>
  <c r="E19" i="6"/>
  <c r="F19" i="6"/>
  <c r="G19" i="6"/>
  <c r="H19" i="6"/>
  <c r="I19" i="6"/>
  <c r="J19" i="6"/>
  <c r="Q19" i="6"/>
  <c r="W19" i="6"/>
  <c r="C21" i="5"/>
  <c r="D21" i="5"/>
  <c r="E21" i="5"/>
  <c r="F21" i="5"/>
  <c r="G21" i="5"/>
  <c r="T21" i="5"/>
  <c r="U21" i="5" s="1"/>
  <c r="C18" i="6"/>
  <c r="D18" i="6"/>
  <c r="E18" i="6"/>
  <c r="F18" i="6"/>
  <c r="G18" i="6"/>
  <c r="H18" i="6"/>
  <c r="I18" i="6"/>
  <c r="J18" i="6"/>
  <c r="Q18" i="6"/>
  <c r="W18" i="6"/>
  <c r="C17" i="6"/>
  <c r="D17" i="6"/>
  <c r="E17" i="6"/>
  <c r="F17" i="6"/>
  <c r="G17" i="6"/>
  <c r="H17" i="6"/>
  <c r="I17" i="6"/>
  <c r="J17" i="6" s="1"/>
  <c r="Q17" i="6"/>
  <c r="W17" i="6"/>
  <c r="C20" i="5"/>
  <c r="D20" i="5"/>
  <c r="E20" i="5"/>
  <c r="F20" i="5"/>
  <c r="G20" i="5"/>
  <c r="T20" i="5"/>
  <c r="U20" i="5" s="1"/>
  <c r="C16" i="6"/>
  <c r="D16" i="6"/>
  <c r="E16" i="6"/>
  <c r="F16" i="6"/>
  <c r="G16" i="6"/>
  <c r="H16" i="6"/>
  <c r="I16" i="6"/>
  <c r="J16" i="6" s="1"/>
  <c r="Q16" i="6"/>
  <c r="W16" i="6"/>
  <c r="C19" i="5"/>
  <c r="D19" i="5"/>
  <c r="E19" i="5"/>
  <c r="F19" i="5"/>
  <c r="G19" i="5"/>
  <c r="T19" i="5"/>
  <c r="U19" i="5" s="1"/>
  <c r="C15" i="6"/>
  <c r="D15" i="6"/>
  <c r="E15" i="6"/>
  <c r="F15" i="6"/>
  <c r="G15" i="6"/>
  <c r="H15" i="6"/>
  <c r="I15" i="6"/>
  <c r="J15" i="6"/>
  <c r="Q15" i="6"/>
  <c r="W15" i="6"/>
  <c r="C18" i="5"/>
  <c r="D18" i="5"/>
  <c r="E18" i="5"/>
  <c r="F18" i="5"/>
  <c r="G18" i="5"/>
  <c r="T18" i="5"/>
  <c r="U18" i="5" s="1"/>
  <c r="C14" i="6"/>
  <c r="D14" i="6"/>
  <c r="E14" i="6"/>
  <c r="F14" i="6"/>
  <c r="G14" i="6"/>
  <c r="H14" i="6"/>
  <c r="I14" i="6"/>
  <c r="J14" i="6"/>
  <c r="Q14" i="6"/>
  <c r="W14" i="6"/>
  <c r="C17" i="5"/>
  <c r="D17" i="5"/>
  <c r="E17" i="5"/>
  <c r="F17" i="5"/>
  <c r="G17" i="5"/>
  <c r="T17" i="5"/>
  <c r="U17" i="5" s="1"/>
  <c r="C13" i="6"/>
  <c r="D13" i="6"/>
  <c r="E13" i="6"/>
  <c r="F13" i="6"/>
  <c r="G13" i="6"/>
  <c r="H13" i="6"/>
  <c r="I13" i="6"/>
  <c r="J13" i="6"/>
  <c r="Q13" i="6"/>
  <c r="W13" i="6"/>
  <c r="C16" i="5"/>
  <c r="D16" i="5"/>
  <c r="E16" i="5"/>
  <c r="F16" i="5"/>
  <c r="G16" i="5"/>
  <c r="T16" i="5"/>
  <c r="U16" i="5" s="1"/>
  <c r="C15" i="5"/>
  <c r="D15" i="5"/>
  <c r="E15" i="5"/>
  <c r="F15" i="5"/>
  <c r="G15" i="5"/>
  <c r="T15" i="5"/>
  <c r="U15" i="5" s="1"/>
  <c r="D12" i="6"/>
  <c r="E12" i="6"/>
  <c r="H12" i="6"/>
  <c r="W12" i="6"/>
  <c r="C12" i="6"/>
  <c r="F12" i="6"/>
  <c r="G12" i="6"/>
  <c r="I12" i="6"/>
  <c r="J12" i="6" s="1"/>
  <c r="Q12" i="6"/>
  <c r="G11" i="6"/>
  <c r="H11" i="6"/>
  <c r="I11" i="6"/>
  <c r="W11" i="6"/>
  <c r="D11" i="6"/>
  <c r="F11" i="6"/>
  <c r="J11" i="6"/>
  <c r="C11" i="6"/>
  <c r="E11" i="6"/>
  <c r="Q11" i="6"/>
  <c r="C14" i="5"/>
  <c r="D14" i="5"/>
  <c r="E14" i="5"/>
  <c r="F14" i="5"/>
  <c r="G14" i="5"/>
  <c r="T14" i="5"/>
  <c r="U14" i="5" s="1"/>
  <c r="I10" i="6"/>
  <c r="J10" i="6"/>
  <c r="W10" i="6"/>
  <c r="C10" i="6"/>
  <c r="E10" i="6"/>
  <c r="F10" i="6"/>
  <c r="H10" i="6"/>
  <c r="D10" i="6"/>
  <c r="G10" i="6"/>
  <c r="Q10" i="6"/>
  <c r="C13" i="5"/>
  <c r="D13" i="5"/>
  <c r="E13" i="5"/>
  <c r="F13" i="5"/>
  <c r="G13" i="5"/>
  <c r="T13" i="5"/>
  <c r="U13" i="5" s="1"/>
  <c r="W9" i="6"/>
  <c r="E9" i="6"/>
  <c r="I9" i="6"/>
  <c r="J9" i="6" s="1"/>
  <c r="G9" i="6"/>
  <c r="Q9" i="6"/>
  <c r="C9" i="6"/>
  <c r="D9" i="6"/>
  <c r="F9" i="6"/>
  <c r="H9" i="6"/>
  <c r="C12" i="5"/>
  <c r="D12" i="5"/>
  <c r="E12" i="5"/>
  <c r="F12" i="5"/>
  <c r="G12" i="5"/>
  <c r="T12" i="5"/>
  <c r="U12" i="5" s="1"/>
  <c r="I8" i="6"/>
  <c r="C8" i="6"/>
  <c r="E8" i="6"/>
  <c r="G8" i="6"/>
  <c r="J8" i="6"/>
  <c r="F8" i="6"/>
  <c r="W8" i="6"/>
  <c r="H8" i="6"/>
  <c r="Q8" i="6"/>
  <c r="D8" i="6"/>
  <c r="C11" i="5"/>
  <c r="D11" i="5"/>
  <c r="E11" i="5"/>
  <c r="F11" i="5"/>
  <c r="G11" i="5"/>
  <c r="T11" i="5"/>
  <c r="U11" i="5" s="1"/>
  <c r="G7" i="6"/>
  <c r="W7" i="6"/>
  <c r="C7" i="6"/>
  <c r="F7" i="6"/>
  <c r="H7" i="6"/>
  <c r="D7" i="6"/>
  <c r="E7" i="6"/>
  <c r="I7" i="6"/>
  <c r="J7" i="6" s="1"/>
  <c r="Q7" i="6"/>
  <c r="C10" i="5"/>
  <c r="D10" i="5"/>
  <c r="E10" i="5"/>
  <c r="F10" i="5"/>
  <c r="G10" i="5"/>
  <c r="T10" i="5"/>
  <c r="U10" i="5" s="1"/>
  <c r="T6" i="3"/>
  <c r="K6" i="4"/>
  <c r="C9" i="5"/>
  <c r="D9" i="5"/>
  <c r="E9" i="5"/>
  <c r="F9" i="5"/>
  <c r="G9" i="5"/>
  <c r="T9" i="5"/>
  <c r="U9" i="5" s="1"/>
  <c r="C6" i="6"/>
  <c r="D6" i="6"/>
  <c r="E6" i="6"/>
  <c r="F6" i="6"/>
  <c r="H6" i="6"/>
  <c r="I6" i="6"/>
  <c r="G6" i="6"/>
  <c r="Q6" i="6"/>
  <c r="J6" i="6"/>
  <c r="W6" i="6"/>
  <c r="E39" i="7"/>
  <c r="D39" i="7"/>
  <c r="N19" i="3"/>
  <c r="N18" i="3"/>
  <c r="N16" i="3"/>
  <c r="N15" i="3"/>
  <c r="N11" i="3"/>
  <c r="N7" i="3"/>
  <c r="U51" i="5" l="1"/>
  <c r="E23" i="7"/>
  <c r="U38" i="5"/>
  <c r="K65" i="6"/>
  <c r="M65" i="6"/>
  <c r="N65" i="6"/>
  <c r="P65" i="6"/>
  <c r="R65" i="6" s="1"/>
  <c r="K64" i="6"/>
  <c r="M64" i="6"/>
  <c r="N64" i="6"/>
  <c r="P64" i="6"/>
  <c r="R64" i="6" s="1"/>
  <c r="K63" i="6"/>
  <c r="M63" i="6"/>
  <c r="N63" i="6"/>
  <c r="P63" i="6"/>
  <c r="R63" i="6" s="1"/>
  <c r="K62" i="6"/>
  <c r="M62" i="6"/>
  <c r="N62" i="6"/>
  <c r="P62" i="6"/>
  <c r="R62" i="6" s="1"/>
  <c r="K61" i="6"/>
  <c r="M61" i="6"/>
  <c r="N61" i="6"/>
  <c r="P61" i="6"/>
  <c r="R61" i="6" s="1"/>
  <c r="K60" i="6"/>
  <c r="M60" i="6"/>
  <c r="N60" i="6"/>
  <c r="P60" i="6"/>
  <c r="R60" i="6" s="1"/>
  <c r="K59" i="6"/>
  <c r="M59" i="6"/>
  <c r="N59" i="6"/>
  <c r="P59" i="6"/>
  <c r="R59" i="6" s="1"/>
  <c r="K58" i="6"/>
  <c r="M58" i="6"/>
  <c r="N58" i="6"/>
  <c r="P58" i="6"/>
  <c r="R58" i="6" s="1"/>
  <c r="K57" i="6"/>
  <c r="M57" i="6"/>
  <c r="N57" i="6"/>
  <c r="P57" i="6"/>
  <c r="R57" i="6" s="1"/>
  <c r="K56" i="6"/>
  <c r="M56" i="6"/>
  <c r="N56" i="6"/>
  <c r="P56" i="6"/>
  <c r="R56" i="6" s="1"/>
  <c r="K55" i="6"/>
  <c r="M55" i="6"/>
  <c r="N55" i="6"/>
  <c r="P55" i="6"/>
  <c r="R55" i="6" s="1"/>
  <c r="K54" i="6"/>
  <c r="M54" i="6"/>
  <c r="N54" i="6"/>
  <c r="P54" i="6"/>
  <c r="R54" i="6" s="1"/>
  <c r="K53" i="6"/>
  <c r="M53" i="6"/>
  <c r="N53" i="6"/>
  <c r="P53" i="6"/>
  <c r="R53" i="6" s="1"/>
  <c r="K52" i="6"/>
  <c r="M52" i="6"/>
  <c r="N52" i="6"/>
  <c r="P52" i="6"/>
  <c r="R52" i="6" s="1"/>
  <c r="K51" i="6"/>
  <c r="M51" i="6"/>
  <c r="N51" i="6"/>
  <c r="P51" i="6"/>
  <c r="R51" i="6" s="1"/>
  <c r="K50" i="6"/>
  <c r="M50" i="6"/>
  <c r="N50" i="6"/>
  <c r="P50" i="6"/>
  <c r="R50" i="6" s="1"/>
  <c r="K49" i="6"/>
  <c r="M49" i="6"/>
  <c r="N49" i="6"/>
  <c r="P49" i="6"/>
  <c r="R49" i="6" s="1"/>
  <c r="K48" i="6"/>
  <c r="M48" i="6"/>
  <c r="N48" i="6"/>
  <c r="P48" i="6"/>
  <c r="R48" i="6" s="1"/>
  <c r="K47" i="6"/>
  <c r="M47" i="6"/>
  <c r="N47" i="6"/>
  <c r="P47" i="6"/>
  <c r="R47" i="6" s="1"/>
  <c r="K46" i="6"/>
  <c r="M46" i="6"/>
  <c r="N46" i="6"/>
  <c r="P46" i="6"/>
  <c r="R46" i="6" s="1"/>
  <c r="K45" i="6"/>
  <c r="M45" i="6"/>
  <c r="N45" i="6"/>
  <c r="P45" i="6"/>
  <c r="R45" i="6" s="1"/>
  <c r="K44" i="6"/>
  <c r="M44" i="6"/>
  <c r="N44" i="6"/>
  <c r="P44" i="6"/>
  <c r="R44" i="6" s="1"/>
  <c r="K43" i="6"/>
  <c r="M43" i="6"/>
  <c r="N43" i="6"/>
  <c r="P43" i="6"/>
  <c r="R43" i="6" s="1"/>
  <c r="K42" i="6"/>
  <c r="M42" i="6"/>
  <c r="N42" i="6"/>
  <c r="P42" i="6"/>
  <c r="R42" i="6" s="1"/>
  <c r="K41" i="6"/>
  <c r="M41" i="6"/>
  <c r="N41" i="6"/>
  <c r="P41" i="6"/>
  <c r="R41" i="6" s="1"/>
  <c r="K40" i="6"/>
  <c r="M40" i="6"/>
  <c r="N40" i="6"/>
  <c r="P40" i="6"/>
  <c r="R40" i="6" s="1"/>
  <c r="K39" i="6"/>
  <c r="M39" i="6"/>
  <c r="N39" i="6"/>
  <c r="P39" i="6"/>
  <c r="R39" i="6" s="1"/>
  <c r="K38" i="6"/>
  <c r="M38" i="6"/>
  <c r="N38" i="6"/>
  <c r="P38" i="6"/>
  <c r="R38" i="6" s="1"/>
  <c r="K37" i="6"/>
  <c r="M37" i="6"/>
  <c r="N37" i="6"/>
  <c r="P37" i="6"/>
  <c r="R37" i="6" s="1"/>
  <c r="K36" i="6"/>
  <c r="M36" i="6"/>
  <c r="N36" i="6"/>
  <c r="P36" i="6"/>
  <c r="R36" i="6" s="1"/>
  <c r="K35" i="6"/>
  <c r="M35" i="6"/>
  <c r="N35" i="6"/>
  <c r="P35" i="6"/>
  <c r="R35" i="6" s="1"/>
  <c r="K34" i="6"/>
  <c r="M34" i="6"/>
  <c r="N34" i="6"/>
  <c r="P34" i="6"/>
  <c r="R34" i="6" s="1"/>
  <c r="K33" i="6"/>
  <c r="M33" i="6"/>
  <c r="N33" i="6"/>
  <c r="P33" i="6"/>
  <c r="R33" i="6" s="1"/>
  <c r="K32" i="6"/>
  <c r="M32" i="6"/>
  <c r="N32" i="6"/>
  <c r="P32" i="6"/>
  <c r="R32" i="6" s="1"/>
  <c r="K31" i="6"/>
  <c r="M31" i="6"/>
  <c r="N31" i="6"/>
  <c r="P31" i="6"/>
  <c r="R31" i="6" s="1"/>
  <c r="K30" i="6"/>
  <c r="M30" i="6"/>
  <c r="N30" i="6"/>
  <c r="P30" i="6"/>
  <c r="R30" i="6" s="1"/>
  <c r="K29" i="6"/>
  <c r="M29" i="6"/>
  <c r="N29" i="6"/>
  <c r="P29" i="6"/>
  <c r="R29" i="6" s="1"/>
  <c r="K28" i="6"/>
  <c r="M28" i="6"/>
  <c r="N28" i="6"/>
  <c r="P28" i="6"/>
  <c r="R28" i="6" s="1"/>
  <c r="K27" i="6"/>
  <c r="M27" i="6"/>
  <c r="N27" i="6"/>
  <c r="P27" i="6"/>
  <c r="R27" i="6" s="1"/>
  <c r="M26" i="6"/>
  <c r="P26" i="6"/>
  <c r="R26" i="6" s="1"/>
  <c r="K26" i="6"/>
  <c r="N26" i="6"/>
  <c r="K25" i="6"/>
  <c r="M25" i="6"/>
  <c r="N25" i="6"/>
  <c r="P25" i="6"/>
  <c r="R25" i="6" s="1"/>
  <c r="K24" i="6"/>
  <c r="M24" i="6"/>
  <c r="N24" i="6"/>
  <c r="P24" i="6"/>
  <c r="R24" i="6" s="1"/>
  <c r="K23" i="6"/>
  <c r="M23" i="6"/>
  <c r="N23" i="6"/>
  <c r="P23" i="6"/>
  <c r="R23" i="6" s="1"/>
  <c r="K22" i="6"/>
  <c r="M22" i="6"/>
  <c r="N22" i="6"/>
  <c r="P22" i="6"/>
  <c r="R22" i="6" s="1"/>
  <c r="K21" i="6"/>
  <c r="M21" i="6"/>
  <c r="N21" i="6"/>
  <c r="P21" i="6"/>
  <c r="R21" i="6" s="1"/>
  <c r="K20" i="6"/>
  <c r="M20" i="6"/>
  <c r="N20" i="6"/>
  <c r="P20" i="6"/>
  <c r="R20" i="6" s="1"/>
  <c r="K19" i="6"/>
  <c r="M19" i="6"/>
  <c r="N19" i="6"/>
  <c r="P19" i="6"/>
  <c r="H30" i="7" s="1"/>
  <c r="K18" i="6"/>
  <c r="M18" i="6"/>
  <c r="N18" i="6"/>
  <c r="P18" i="6"/>
  <c r="R18" i="6" s="1"/>
  <c r="K17" i="6"/>
  <c r="M17" i="6"/>
  <c r="N17" i="6"/>
  <c r="P17" i="6"/>
  <c r="R17" i="6" s="1"/>
  <c r="K16" i="6"/>
  <c r="M16" i="6"/>
  <c r="N16" i="6"/>
  <c r="P16" i="6"/>
  <c r="K15" i="6"/>
  <c r="M15" i="6"/>
  <c r="N15" i="6"/>
  <c r="P15" i="6"/>
  <c r="K14" i="6"/>
  <c r="M14" i="6"/>
  <c r="N14" i="6"/>
  <c r="P14" i="6"/>
  <c r="K13" i="6"/>
  <c r="M13" i="6"/>
  <c r="N13" i="6"/>
  <c r="P13" i="6"/>
  <c r="R13" i="6" s="1"/>
  <c r="P12" i="6"/>
  <c r="K12" i="6"/>
  <c r="M12" i="6"/>
  <c r="N12" i="6"/>
  <c r="P11" i="6"/>
  <c r="M11" i="6"/>
  <c r="K11" i="6"/>
  <c r="N11" i="6"/>
  <c r="K10" i="6"/>
  <c r="M10" i="6"/>
  <c r="P10" i="6"/>
  <c r="N10" i="6"/>
  <c r="K9" i="6"/>
  <c r="N9" i="6"/>
  <c r="M9" i="6"/>
  <c r="P9" i="6"/>
  <c r="K8" i="6"/>
  <c r="M8" i="6"/>
  <c r="N8" i="6"/>
  <c r="P8" i="6"/>
  <c r="H28" i="7" s="1"/>
  <c r="K7" i="6"/>
  <c r="P7" i="6"/>
  <c r="N7" i="6"/>
  <c r="M7" i="6"/>
  <c r="L6" i="4"/>
  <c r="M6" i="4"/>
  <c r="N6" i="4"/>
  <c r="P6" i="4"/>
  <c r="R6" i="4"/>
  <c r="B7" i="4"/>
  <c r="K8" i="4"/>
  <c r="O6" i="4"/>
  <c r="Q6" i="4"/>
  <c r="B6" i="4"/>
  <c r="H8" i="5"/>
  <c r="T20" i="8" s="1"/>
  <c r="U8" i="5"/>
  <c r="I8" i="5"/>
  <c r="T21" i="8" s="1"/>
  <c r="K8" i="5"/>
  <c r="T23" i="8" s="1"/>
  <c r="M8" i="5"/>
  <c r="T25" i="8" s="1"/>
  <c r="N8" i="5"/>
  <c r="T26" i="8" s="1"/>
  <c r="P8" i="5"/>
  <c r="T28" i="8" s="1"/>
  <c r="S8" i="5"/>
  <c r="T31" i="8" s="1"/>
  <c r="J8" i="5"/>
  <c r="T22" i="8" s="1"/>
  <c r="L8" i="5"/>
  <c r="T24" i="8" s="1"/>
  <c r="O8" i="5"/>
  <c r="T27" i="8" s="1"/>
  <c r="R8" i="5"/>
  <c r="T30" i="8" s="1"/>
  <c r="H33" i="7"/>
  <c r="M6" i="6"/>
  <c r="P6" i="6"/>
  <c r="K6" i="6"/>
  <c r="N6" i="6"/>
  <c r="K7" i="7"/>
  <c r="J7" i="7"/>
  <c r="J9" i="7"/>
  <c r="I9" i="7"/>
  <c r="K9" i="7"/>
  <c r="F10" i="7"/>
  <c r="I10" i="7"/>
  <c r="K10" i="7"/>
  <c r="J10" i="7"/>
  <c r="H10" i="7"/>
  <c r="J11" i="7"/>
  <c r="K11" i="7"/>
  <c r="K12" i="7"/>
  <c r="J12" i="7"/>
  <c r="I12" i="7"/>
  <c r="G12" i="7"/>
  <c r="E12" i="7"/>
  <c r="U67" i="5"/>
  <c r="U66" i="5"/>
  <c r="U62" i="5"/>
  <c r="U61" i="5"/>
  <c r="U52" i="5"/>
  <c r="U56" i="5"/>
  <c r="U55" i="5"/>
  <c r="U54" i="5"/>
  <c r="U50" i="5"/>
  <c r="U48" i="5"/>
  <c r="U47" i="5"/>
  <c r="U29" i="5"/>
  <c r="L23" i="7"/>
  <c r="Q8" i="5"/>
  <c r="T29" i="8" s="1"/>
  <c r="O29" i="6" l="1"/>
  <c r="S29" i="6" s="1"/>
  <c r="O19" i="6"/>
  <c r="S19" i="6" s="1"/>
  <c r="O20" i="6"/>
  <c r="S20" i="6" s="1"/>
  <c r="O16" i="6"/>
  <c r="O39" i="6"/>
  <c r="S39" i="6" s="1"/>
  <c r="O21" i="6"/>
  <c r="O26" i="6"/>
  <c r="S26" i="6" s="1"/>
  <c r="O8" i="6"/>
  <c r="R16" i="6"/>
  <c r="H35" i="7"/>
  <c r="R15" i="6"/>
  <c r="H32" i="7"/>
  <c r="R14" i="6"/>
  <c r="H36" i="7"/>
  <c r="J36" i="7" s="1"/>
  <c r="R11" i="6"/>
  <c r="H31" i="7"/>
  <c r="R9" i="6"/>
  <c r="H29" i="7"/>
  <c r="L65" i="6"/>
  <c r="T65" i="6"/>
  <c r="U65" i="6"/>
  <c r="V65" i="6"/>
  <c r="L64" i="6"/>
  <c r="T64" i="6"/>
  <c r="U64" i="6"/>
  <c r="V64" i="6"/>
  <c r="L63" i="6"/>
  <c r="T63" i="6"/>
  <c r="U63" i="6"/>
  <c r="V63" i="6"/>
  <c r="L62" i="6"/>
  <c r="T62" i="6"/>
  <c r="U62" i="6"/>
  <c r="V62" i="6"/>
  <c r="L61" i="6"/>
  <c r="T61" i="6"/>
  <c r="U61" i="6"/>
  <c r="V61" i="6"/>
  <c r="L60" i="6"/>
  <c r="T60" i="6"/>
  <c r="U60" i="6"/>
  <c r="V60" i="6"/>
  <c r="L59" i="6"/>
  <c r="T59" i="6"/>
  <c r="U59" i="6"/>
  <c r="V59" i="6"/>
  <c r="L58" i="6"/>
  <c r="T58" i="6"/>
  <c r="U58" i="6"/>
  <c r="V58" i="6"/>
  <c r="L57" i="6"/>
  <c r="T57" i="6"/>
  <c r="U57" i="6"/>
  <c r="V57" i="6"/>
  <c r="L56" i="6"/>
  <c r="T56" i="6"/>
  <c r="U56" i="6"/>
  <c r="V56" i="6"/>
  <c r="L55" i="6"/>
  <c r="T55" i="6"/>
  <c r="U55" i="6"/>
  <c r="V55" i="6"/>
  <c r="L54" i="6"/>
  <c r="T54" i="6"/>
  <c r="U54" i="6"/>
  <c r="V54" i="6"/>
  <c r="L53" i="6"/>
  <c r="T53" i="6"/>
  <c r="U53" i="6"/>
  <c r="V53" i="6"/>
  <c r="L52" i="6"/>
  <c r="T52" i="6"/>
  <c r="U52" i="6"/>
  <c r="V52" i="6"/>
  <c r="L51" i="6"/>
  <c r="T51" i="6"/>
  <c r="U51" i="6"/>
  <c r="V51" i="6"/>
  <c r="L50" i="6"/>
  <c r="T50" i="6"/>
  <c r="U50" i="6"/>
  <c r="V50" i="6"/>
  <c r="L49" i="6"/>
  <c r="T49" i="6"/>
  <c r="U49" i="6"/>
  <c r="V49" i="6"/>
  <c r="L48" i="6"/>
  <c r="T48" i="6"/>
  <c r="U48" i="6"/>
  <c r="V48" i="6"/>
  <c r="L47" i="6"/>
  <c r="T47" i="6"/>
  <c r="U47" i="6"/>
  <c r="V47" i="6"/>
  <c r="L46" i="6"/>
  <c r="T46" i="6"/>
  <c r="U46" i="6"/>
  <c r="V46" i="6"/>
  <c r="L45" i="6"/>
  <c r="T45" i="6"/>
  <c r="U45" i="6"/>
  <c r="V45" i="6"/>
  <c r="L44" i="6"/>
  <c r="T44" i="6"/>
  <c r="U44" i="6"/>
  <c r="V44" i="6"/>
  <c r="L43" i="6"/>
  <c r="T43" i="6"/>
  <c r="U43" i="6"/>
  <c r="V43" i="6"/>
  <c r="S42" i="6"/>
  <c r="L42" i="6"/>
  <c r="T42" i="6"/>
  <c r="U42" i="6"/>
  <c r="V42" i="6"/>
  <c r="L41" i="6"/>
  <c r="T41" i="6"/>
  <c r="U41" i="6"/>
  <c r="V41" i="6"/>
  <c r="L40" i="6"/>
  <c r="T40" i="6"/>
  <c r="U40" i="6"/>
  <c r="I33" i="7" s="1"/>
  <c r="J33" i="7" s="1"/>
  <c r="V40" i="6"/>
  <c r="L39" i="6"/>
  <c r="T39" i="6"/>
  <c r="U39" i="6"/>
  <c r="V39" i="6"/>
  <c r="S38" i="6"/>
  <c r="L38" i="6"/>
  <c r="T38" i="6"/>
  <c r="U38" i="6"/>
  <c r="V38" i="6"/>
  <c r="S37" i="6"/>
  <c r="L37" i="6"/>
  <c r="T37" i="6"/>
  <c r="U37" i="6"/>
  <c r="V37" i="6"/>
  <c r="I8" i="7" s="1"/>
  <c r="S36" i="6"/>
  <c r="L36" i="6"/>
  <c r="T36" i="6"/>
  <c r="U36" i="6"/>
  <c r="V36" i="6"/>
  <c r="S35" i="6"/>
  <c r="L35" i="6"/>
  <c r="T35" i="6"/>
  <c r="U35" i="6"/>
  <c r="V35" i="6"/>
  <c r="H12" i="7" s="1"/>
  <c r="S34" i="6"/>
  <c r="L34" i="6"/>
  <c r="T34" i="6"/>
  <c r="U34" i="6"/>
  <c r="V34" i="6"/>
  <c r="S33" i="6"/>
  <c r="L33" i="6"/>
  <c r="T33" i="6"/>
  <c r="U33" i="6"/>
  <c r="V33" i="6"/>
  <c r="S32" i="6"/>
  <c r="L32" i="6"/>
  <c r="T32" i="6"/>
  <c r="U32" i="6"/>
  <c r="V32" i="6"/>
  <c r="H11" i="7" s="1"/>
  <c r="S31" i="6"/>
  <c r="L31" i="6"/>
  <c r="T31" i="6"/>
  <c r="U31" i="6"/>
  <c r="V31" i="6"/>
  <c r="H9" i="7" s="1"/>
  <c r="S30" i="6"/>
  <c r="L30" i="6"/>
  <c r="T30" i="6"/>
  <c r="U30" i="6"/>
  <c r="V30" i="6"/>
  <c r="L29" i="6"/>
  <c r="T29" i="6"/>
  <c r="U29" i="6"/>
  <c r="V29" i="6"/>
  <c r="L28" i="6"/>
  <c r="T28" i="6"/>
  <c r="U28" i="6"/>
  <c r="V28" i="6"/>
  <c r="L27" i="6"/>
  <c r="T27" i="6"/>
  <c r="U27" i="6"/>
  <c r="V27" i="6"/>
  <c r="V26" i="6"/>
  <c r="U26" i="6"/>
  <c r="T26" i="6"/>
  <c r="L26" i="6"/>
  <c r="S25" i="6"/>
  <c r="T25" i="6"/>
  <c r="U25" i="6"/>
  <c r="V25" i="6"/>
  <c r="G11" i="7" s="1"/>
  <c r="L25" i="6"/>
  <c r="L24" i="6"/>
  <c r="T24" i="6"/>
  <c r="U24" i="6"/>
  <c r="V24" i="6"/>
  <c r="G10" i="7" s="1"/>
  <c r="S23" i="6"/>
  <c r="L23" i="6"/>
  <c r="T23" i="6"/>
  <c r="U23" i="6"/>
  <c r="V23" i="6"/>
  <c r="G9" i="7" s="1"/>
  <c r="S22" i="6"/>
  <c r="L22" i="6"/>
  <c r="T22" i="6"/>
  <c r="U22" i="6"/>
  <c r="V22" i="6"/>
  <c r="G8" i="7" s="1"/>
  <c r="S21" i="6"/>
  <c r="L21" i="6"/>
  <c r="T21" i="6"/>
  <c r="U21" i="6"/>
  <c r="V21" i="6"/>
  <c r="L20" i="6"/>
  <c r="T20" i="6"/>
  <c r="U20" i="6"/>
  <c r="V20" i="6"/>
  <c r="L19" i="6"/>
  <c r="T19" i="6"/>
  <c r="U19" i="6"/>
  <c r="I30" i="7" s="1"/>
  <c r="J30" i="7" s="1"/>
  <c r="V19" i="6"/>
  <c r="S18" i="6"/>
  <c r="L18" i="6"/>
  <c r="T18" i="6"/>
  <c r="U18" i="6"/>
  <c r="V18" i="6"/>
  <c r="S17" i="6"/>
  <c r="L17" i="6"/>
  <c r="T17" i="6"/>
  <c r="U17" i="6"/>
  <c r="V17" i="6"/>
  <c r="S16" i="6"/>
  <c r="L16" i="6"/>
  <c r="T16" i="6"/>
  <c r="U16" i="6"/>
  <c r="V16" i="6"/>
  <c r="L15" i="6"/>
  <c r="T15" i="6"/>
  <c r="U15" i="6"/>
  <c r="V15" i="6"/>
  <c r="L14" i="6"/>
  <c r="T14" i="6"/>
  <c r="U14" i="6"/>
  <c r="I36" i="7" s="1"/>
  <c r="V14" i="6"/>
  <c r="S13" i="6"/>
  <c r="L13" i="6"/>
  <c r="T13" i="6"/>
  <c r="U13" i="6"/>
  <c r="V13" i="6"/>
  <c r="U12" i="6"/>
  <c r="V12" i="6"/>
  <c r="L12" i="6"/>
  <c r="T12" i="6"/>
  <c r="S11" i="6"/>
  <c r="L11" i="6"/>
  <c r="T11" i="6"/>
  <c r="U11" i="6"/>
  <c r="V11" i="6"/>
  <c r="S10" i="6"/>
  <c r="U10" i="6"/>
  <c r="I44" i="7" s="1"/>
  <c r="V10" i="6"/>
  <c r="L10" i="6"/>
  <c r="T10" i="6"/>
  <c r="S9" i="6"/>
  <c r="L9" i="6"/>
  <c r="T9" i="6"/>
  <c r="V9" i="6"/>
  <c r="U9" i="6"/>
  <c r="S8" i="6"/>
  <c r="U8" i="6"/>
  <c r="L8" i="6"/>
  <c r="T8" i="6"/>
  <c r="V8" i="6"/>
  <c r="T7" i="6"/>
  <c r="L7" i="6"/>
  <c r="U7" i="6"/>
  <c r="V7" i="6"/>
  <c r="S6" i="4"/>
  <c r="S7" i="4" s="1"/>
  <c r="C7" i="4"/>
  <c r="C6" i="4"/>
  <c r="T6" i="4"/>
  <c r="T7" i="4" s="1"/>
  <c r="D7" i="4"/>
  <c r="D6" i="4"/>
  <c r="U6" i="4"/>
  <c r="U7" i="4" s="1"/>
  <c r="E7" i="4"/>
  <c r="E6" i="4"/>
  <c r="G7" i="4"/>
  <c r="W6" i="4"/>
  <c r="W7" i="4" s="1"/>
  <c r="G6" i="4"/>
  <c r="I6" i="4"/>
  <c r="Y6" i="4"/>
  <c r="Y7" i="4" s="1"/>
  <c r="I7" i="4"/>
  <c r="Q8" i="4"/>
  <c r="B8" i="4"/>
  <c r="L8" i="4"/>
  <c r="P8" i="4"/>
  <c r="R8" i="4"/>
  <c r="N8" i="4"/>
  <c r="M8" i="4"/>
  <c r="O8" i="4"/>
  <c r="B9" i="4"/>
  <c r="K10" i="4"/>
  <c r="V6" i="4"/>
  <c r="V7" i="4" s="1"/>
  <c r="F7" i="4"/>
  <c r="F6" i="4"/>
  <c r="H7" i="4"/>
  <c r="H6" i="4"/>
  <c r="X6" i="4"/>
  <c r="X7" i="4" s="1"/>
  <c r="S6" i="6"/>
  <c r="U6" i="6"/>
  <c r="V6" i="6"/>
  <c r="L6" i="6"/>
  <c r="T6" i="6"/>
  <c r="O65" i="6"/>
  <c r="O64" i="6"/>
  <c r="O63" i="6"/>
  <c r="O62" i="6"/>
  <c r="O61" i="6"/>
  <c r="O60" i="6"/>
  <c r="O59" i="6"/>
  <c r="O58" i="6"/>
  <c r="O57" i="6"/>
  <c r="O56" i="6"/>
  <c r="O55" i="6"/>
  <c r="O54" i="6"/>
  <c r="O53" i="6"/>
  <c r="O52" i="6"/>
  <c r="O51" i="6"/>
  <c r="O50" i="6"/>
  <c r="O49" i="6"/>
  <c r="O48" i="6"/>
  <c r="O47" i="6"/>
  <c r="O46" i="6"/>
  <c r="O45" i="6"/>
  <c r="O44" i="6"/>
  <c r="O43" i="6"/>
  <c r="O42" i="6"/>
  <c r="O41" i="6"/>
  <c r="S41" i="6" s="1"/>
  <c r="O40" i="6"/>
  <c r="S40" i="6" s="1"/>
  <c r="O10" i="6"/>
  <c r="O38" i="6"/>
  <c r="O37" i="6"/>
  <c r="O36" i="6"/>
  <c r="O35" i="6"/>
  <c r="O34" i="6"/>
  <c r="O33" i="6"/>
  <c r="O30" i="6"/>
  <c r="O9" i="6"/>
  <c r="O7" i="6"/>
  <c r="O32" i="6"/>
  <c r="O31" i="6"/>
  <c r="O28" i="6"/>
  <c r="S28" i="6" s="1"/>
  <c r="O27" i="6"/>
  <c r="S27" i="6" s="1"/>
  <c r="O11" i="6"/>
  <c r="O25" i="6"/>
  <c r="O24" i="6"/>
  <c r="S24" i="6" s="1"/>
  <c r="O23" i="6"/>
  <c r="O22" i="6"/>
  <c r="O18" i="6"/>
  <c r="O17" i="6"/>
  <c r="O15" i="6"/>
  <c r="S15" i="6" s="1"/>
  <c r="O14" i="6"/>
  <c r="S14" i="6" s="1"/>
  <c r="O13" i="6"/>
  <c r="O12" i="6"/>
  <c r="O6" i="6"/>
  <c r="R19" i="6"/>
  <c r="H45" i="7"/>
  <c r="R12" i="6"/>
  <c r="S12" i="6" s="1"/>
  <c r="H34" i="7"/>
  <c r="R10" i="6"/>
  <c r="H44" i="7"/>
  <c r="R8" i="6"/>
  <c r="H46" i="7"/>
  <c r="R7" i="6"/>
  <c r="S7" i="6" s="1"/>
  <c r="H47" i="7"/>
  <c r="R6" i="6"/>
  <c r="L6" i="8" s="1"/>
  <c r="H27" i="7"/>
  <c r="H43" i="7"/>
  <c r="I11" i="7" l="1"/>
  <c r="I34" i="7"/>
  <c r="J34" i="7" s="1"/>
  <c r="F34" i="7"/>
  <c r="G34" i="7" s="1"/>
  <c r="V27" i="8" s="1"/>
  <c r="K8" i="7"/>
  <c r="K13" i="7"/>
  <c r="J8" i="7"/>
  <c r="F33" i="7"/>
  <c r="G33" i="7" s="1"/>
  <c r="V26" i="8" s="1"/>
  <c r="J13" i="7"/>
  <c r="I7" i="7"/>
  <c r="I13" i="7"/>
  <c r="H7" i="7"/>
  <c r="H13" i="7"/>
  <c r="G7" i="7"/>
  <c r="G13" i="7"/>
  <c r="L12" i="7"/>
  <c r="X25" i="8" s="1"/>
  <c r="F12" i="7"/>
  <c r="F9" i="7"/>
  <c r="F35" i="7"/>
  <c r="G35" i="7" s="1"/>
  <c r="V28" i="8" s="1"/>
  <c r="I45" i="7"/>
  <c r="J45" i="7" s="1"/>
  <c r="I32" i="7"/>
  <c r="J32" i="7" s="1"/>
  <c r="F45" i="7"/>
  <c r="G45" i="7" s="1"/>
  <c r="F32" i="7"/>
  <c r="G32" i="7" s="1"/>
  <c r="V25" i="8" s="1"/>
  <c r="F8" i="7"/>
  <c r="F36" i="7"/>
  <c r="G36" i="7" s="1"/>
  <c r="V29" i="8" s="1"/>
  <c r="F13" i="7"/>
  <c r="F7" i="7"/>
  <c r="F44" i="7"/>
  <c r="G44" i="7" s="1"/>
  <c r="L11" i="7"/>
  <c r="X24" i="8" s="1"/>
  <c r="E11" i="7"/>
  <c r="L10" i="7"/>
  <c r="X23" i="8" s="1"/>
  <c r="E10" i="7"/>
  <c r="I46" i="7"/>
  <c r="J46" i="7" s="1"/>
  <c r="I28" i="7"/>
  <c r="J28" i="7" s="1"/>
  <c r="L9" i="7"/>
  <c r="X22" i="8" s="1"/>
  <c r="F46" i="7"/>
  <c r="G46" i="7" s="1"/>
  <c r="E9" i="7"/>
  <c r="F28" i="7"/>
  <c r="G28" i="7" s="1"/>
  <c r="V21" i="8" s="1"/>
  <c r="I47" i="7"/>
  <c r="J47" i="7" s="1"/>
  <c r="I29" i="7"/>
  <c r="J29" i="7" s="1"/>
  <c r="L8" i="7"/>
  <c r="X21" i="8" s="1"/>
  <c r="E8" i="7"/>
  <c r="F47" i="7"/>
  <c r="G47" i="7" s="1"/>
  <c r="F29" i="7"/>
  <c r="G29" i="7" s="1"/>
  <c r="V22" i="8" s="1"/>
  <c r="G58" i="7"/>
  <c r="H58" i="7" s="1"/>
  <c r="X8" i="4"/>
  <c r="X9" i="4" s="1"/>
  <c r="H8" i="4"/>
  <c r="H9" i="4"/>
  <c r="C9" i="4"/>
  <c r="C8" i="4"/>
  <c r="S8" i="4"/>
  <c r="S9" i="4" s="1"/>
  <c r="W8" i="4"/>
  <c r="W9" i="4" s="1"/>
  <c r="G9" i="4"/>
  <c r="G8" i="4"/>
  <c r="I8" i="4"/>
  <c r="Y8" i="4"/>
  <c r="Y9" i="4" s="1"/>
  <c r="I9" i="4"/>
  <c r="U8" i="4"/>
  <c r="U9" i="4" s="1"/>
  <c r="E9" i="4"/>
  <c r="E8" i="4"/>
  <c r="T8" i="4"/>
  <c r="T9" i="4" s="1"/>
  <c r="D9" i="4"/>
  <c r="D8" i="4"/>
  <c r="F9" i="4"/>
  <c r="V8" i="4"/>
  <c r="V9" i="4" s="1"/>
  <c r="F8" i="4"/>
  <c r="M10" i="4"/>
  <c r="O10" i="4"/>
  <c r="Q10" i="4"/>
  <c r="N10" i="4"/>
  <c r="R10" i="4"/>
  <c r="K12" i="4"/>
  <c r="L10" i="4"/>
  <c r="P10" i="4"/>
  <c r="B11" i="4"/>
  <c r="B10" i="4"/>
  <c r="I43" i="7"/>
  <c r="J43" i="7" s="1"/>
  <c r="I27" i="7"/>
  <c r="J27" i="7" s="1"/>
  <c r="I6" i="8"/>
  <c r="I7" i="8"/>
  <c r="L7" i="7"/>
  <c r="X20" i="8" s="1"/>
  <c r="F43" i="7"/>
  <c r="F27" i="7"/>
  <c r="E13" i="7"/>
  <c r="E7" i="7"/>
  <c r="G57" i="7"/>
  <c r="L13" i="7"/>
  <c r="E6" i="8"/>
  <c r="E7" i="8"/>
  <c r="P11" i="8"/>
  <c r="Q11" i="8"/>
  <c r="P12" i="8"/>
  <c r="Q12" i="8"/>
  <c r="P13" i="8"/>
  <c r="Q13" i="8"/>
  <c r="P14" i="8"/>
  <c r="Q14" i="8"/>
  <c r="P15" i="8"/>
  <c r="Q15" i="8"/>
  <c r="H39" i="7"/>
  <c r="H53" i="7"/>
  <c r="H8" i="7"/>
  <c r="F30" i="7"/>
  <c r="G30" i="7" s="1"/>
  <c r="V23" i="8" s="1"/>
  <c r="F11" i="7"/>
  <c r="I35" i="7"/>
  <c r="J35" i="7" s="1"/>
  <c r="I31" i="7"/>
  <c r="J31" i="7" s="1"/>
  <c r="F31" i="7"/>
  <c r="G31" i="7" s="1"/>
  <c r="V24" i="8" s="1"/>
  <c r="J44" i="7"/>
  <c r="J53" i="7" l="1"/>
  <c r="J39" i="7"/>
  <c r="T10" i="4"/>
  <c r="T11" i="4" s="1"/>
  <c r="D10" i="4"/>
  <c r="D11" i="4"/>
  <c r="F11" i="4"/>
  <c r="F10" i="4"/>
  <c r="V10" i="4"/>
  <c r="V11" i="4" s="1"/>
  <c r="X10" i="4"/>
  <c r="X11" i="4" s="1"/>
  <c r="H11" i="4"/>
  <c r="H10" i="4"/>
  <c r="U10" i="4"/>
  <c r="U11" i="4" s="1"/>
  <c r="E11" i="4"/>
  <c r="E10" i="4"/>
  <c r="Y10" i="4"/>
  <c r="Y11" i="4" s="1"/>
  <c r="I11" i="4"/>
  <c r="I10" i="4"/>
  <c r="L12" i="4"/>
  <c r="M12" i="4"/>
  <c r="N12" i="4"/>
  <c r="O12" i="4"/>
  <c r="P12" i="4"/>
  <c r="Q12" i="4"/>
  <c r="R12" i="4"/>
  <c r="B13" i="4"/>
  <c r="K14" i="4"/>
  <c r="B12" i="4"/>
  <c r="S10" i="4"/>
  <c r="S11" i="4" s="1"/>
  <c r="C11" i="4"/>
  <c r="C10" i="4"/>
  <c r="G11" i="4"/>
  <c r="G10" i="4"/>
  <c r="W10" i="4"/>
  <c r="W11" i="4" s="1"/>
  <c r="F53" i="7"/>
  <c r="G53" i="7" s="1"/>
  <c r="G43" i="7"/>
  <c r="F39" i="7"/>
  <c r="G39" i="7" s="1"/>
  <c r="G27" i="7"/>
  <c r="V20" i="8" s="1"/>
  <c r="G63" i="7"/>
  <c r="H63" i="7" s="1"/>
  <c r="H57" i="7"/>
  <c r="B11" i="8"/>
  <c r="C11" i="8"/>
  <c r="D11" i="8"/>
  <c r="E11" i="8"/>
  <c r="F11" i="8"/>
  <c r="G11" i="8"/>
  <c r="I11" i="8"/>
  <c r="J11" i="8"/>
  <c r="K11" i="8"/>
  <c r="L11" i="8"/>
  <c r="M11" i="8"/>
  <c r="N11" i="8"/>
  <c r="B12" i="8"/>
  <c r="C12" i="8"/>
  <c r="D12" i="8"/>
  <c r="E12" i="8"/>
  <c r="F12" i="8"/>
  <c r="G12" i="8"/>
  <c r="I12" i="8"/>
  <c r="J12" i="8"/>
  <c r="K12" i="8"/>
  <c r="L12" i="8"/>
  <c r="M12" i="8"/>
  <c r="N12" i="8"/>
  <c r="B13" i="8"/>
  <c r="C13" i="8"/>
  <c r="D13" i="8"/>
  <c r="E13" i="8"/>
  <c r="F13" i="8"/>
  <c r="G13" i="8"/>
  <c r="I13" i="8"/>
  <c r="J13" i="8"/>
  <c r="K13" i="8"/>
  <c r="L13" i="8"/>
  <c r="M13" i="8"/>
  <c r="N13" i="8"/>
  <c r="B14" i="8"/>
  <c r="C14" i="8"/>
  <c r="D14" i="8"/>
  <c r="E14" i="8"/>
  <c r="F14" i="8"/>
  <c r="G14" i="8"/>
  <c r="I14" i="8"/>
  <c r="J14" i="8"/>
  <c r="K14" i="8"/>
  <c r="L14" i="8"/>
  <c r="M14" i="8"/>
  <c r="N14" i="8"/>
  <c r="B15" i="8"/>
  <c r="C15" i="8"/>
  <c r="D15" i="8"/>
  <c r="E15" i="8"/>
  <c r="F15" i="8"/>
  <c r="G15" i="8"/>
  <c r="I15" i="8"/>
  <c r="J15" i="8"/>
  <c r="K15" i="8"/>
  <c r="L15" i="8"/>
  <c r="M15" i="8"/>
  <c r="N15" i="8"/>
  <c r="I39" i="7"/>
  <c r="I53" i="7"/>
  <c r="S12" i="4" l="1"/>
  <c r="S13" i="4" s="1"/>
  <c r="C13" i="4"/>
  <c r="C12" i="4"/>
  <c r="T12" i="4"/>
  <c r="T13" i="4" s="1"/>
  <c r="D13" i="4"/>
  <c r="D12" i="4"/>
  <c r="U12" i="4"/>
  <c r="U13" i="4" s="1"/>
  <c r="E13" i="4"/>
  <c r="E12" i="4"/>
  <c r="V12" i="4"/>
  <c r="V13" i="4" s="1"/>
  <c r="F13" i="4"/>
  <c r="F12" i="4"/>
  <c r="W12" i="4"/>
  <c r="W13" i="4" s="1"/>
  <c r="G13" i="4"/>
  <c r="G12" i="4"/>
  <c r="X12" i="4"/>
  <c r="X13" i="4" s="1"/>
  <c r="H13" i="4"/>
  <c r="H12" i="4"/>
  <c r="Y12" i="4"/>
  <c r="Y13" i="4" s="1"/>
  <c r="I13" i="4"/>
  <c r="I12" i="4"/>
  <c r="L14" i="4"/>
  <c r="M14" i="4"/>
  <c r="N14" i="4"/>
  <c r="O14" i="4"/>
  <c r="P14" i="4"/>
  <c r="Q14" i="4"/>
  <c r="R14" i="4"/>
  <c r="K16" i="4"/>
  <c r="B15" i="4"/>
  <c r="B14" i="4"/>
  <c r="S14" i="4" l="1"/>
  <c r="S15" i="4" s="1"/>
  <c r="C15" i="4"/>
  <c r="C14" i="4"/>
  <c r="T14" i="4"/>
  <c r="T15" i="4" s="1"/>
  <c r="D15" i="4"/>
  <c r="D14" i="4"/>
  <c r="U14" i="4"/>
  <c r="U15" i="4" s="1"/>
  <c r="E15" i="4"/>
  <c r="E14" i="4"/>
  <c r="V14" i="4"/>
  <c r="V15" i="4" s="1"/>
  <c r="F15" i="4"/>
  <c r="F14" i="4"/>
  <c r="W14" i="4"/>
  <c r="W15" i="4" s="1"/>
  <c r="G15" i="4"/>
  <c r="G14" i="4"/>
  <c r="H15" i="4"/>
  <c r="X14" i="4"/>
  <c r="X15" i="4" s="1"/>
  <c r="H14" i="4"/>
  <c r="Y14" i="4"/>
  <c r="Y15" i="4" s="1"/>
  <c r="I15" i="4"/>
  <c r="I14" i="4"/>
  <c r="M16" i="4"/>
  <c r="O16" i="4"/>
  <c r="Q16" i="4"/>
  <c r="R16" i="4"/>
  <c r="B17" i="4"/>
  <c r="K18" i="4"/>
  <c r="B16" i="4"/>
  <c r="L16" i="4"/>
  <c r="N16" i="4"/>
  <c r="P16" i="4"/>
  <c r="T16" i="4" l="1"/>
  <c r="T17" i="4" s="1"/>
  <c r="D17" i="4"/>
  <c r="D16" i="4"/>
  <c r="V16" i="4"/>
  <c r="V17" i="4" s="1"/>
  <c r="F17" i="4"/>
  <c r="F16" i="4"/>
  <c r="X16" i="4"/>
  <c r="X17" i="4" s="1"/>
  <c r="H17" i="4"/>
  <c r="H16" i="4"/>
  <c r="I17" i="4"/>
  <c r="I16" i="4"/>
  <c r="Y16" i="4"/>
  <c r="Y17" i="4" s="1"/>
  <c r="L18" i="4"/>
  <c r="N18" i="4"/>
  <c r="P18" i="4"/>
  <c r="R18" i="4"/>
  <c r="B19" i="4"/>
  <c r="K20" i="4"/>
  <c r="M18" i="4"/>
  <c r="O18" i="4"/>
  <c r="Q18" i="4"/>
  <c r="B18" i="4"/>
  <c r="C16" i="4"/>
  <c r="S16" i="4"/>
  <c r="S17" i="4" s="1"/>
  <c r="C17" i="4"/>
  <c r="E17" i="4"/>
  <c r="E16" i="4"/>
  <c r="U16" i="4"/>
  <c r="U17" i="4" s="1"/>
  <c r="W16" i="4"/>
  <c r="W17" i="4" s="1"/>
  <c r="G17" i="4"/>
  <c r="G16" i="4"/>
  <c r="C18" i="4" l="1"/>
  <c r="S18" i="4"/>
  <c r="S19" i="4" s="1"/>
  <c r="C19" i="4"/>
  <c r="E19" i="4"/>
  <c r="E18" i="4"/>
  <c r="U18" i="4"/>
  <c r="U19" i="4" s="1"/>
  <c r="G19" i="4"/>
  <c r="G18" i="4"/>
  <c r="W18" i="4"/>
  <c r="W19" i="4" s="1"/>
  <c r="Y18" i="4"/>
  <c r="Y19" i="4" s="1"/>
  <c r="I19" i="4"/>
  <c r="I18" i="4"/>
  <c r="L20" i="4"/>
  <c r="N20" i="4"/>
  <c r="Q20" i="4"/>
  <c r="K22" i="4"/>
  <c r="M20" i="4"/>
  <c r="O20" i="4"/>
  <c r="P20" i="4"/>
  <c r="R20" i="4"/>
  <c r="B21" i="4"/>
  <c r="B20" i="4"/>
  <c r="D18" i="4"/>
  <c r="T18" i="4"/>
  <c r="T19" i="4" s="1"/>
  <c r="D19" i="4"/>
  <c r="F19" i="4"/>
  <c r="F18" i="4"/>
  <c r="V18" i="4"/>
  <c r="V19" i="4" s="1"/>
  <c r="X18" i="4"/>
  <c r="X19" i="4" s="1"/>
  <c r="H19" i="4"/>
  <c r="H18" i="4"/>
  <c r="S20" i="4" l="1"/>
  <c r="S21" i="4" s="1"/>
  <c r="C21" i="4"/>
  <c r="C20" i="4"/>
  <c r="U20" i="4"/>
  <c r="U21" i="4" s="1"/>
  <c r="E21" i="4"/>
  <c r="E20" i="4"/>
  <c r="X20" i="4"/>
  <c r="X21" i="4" s="1"/>
  <c r="H21" i="4"/>
  <c r="H20" i="4"/>
  <c r="N22" i="4"/>
  <c r="Q22" i="4"/>
  <c r="K24" i="4"/>
  <c r="B22" i="4"/>
  <c r="M22" i="4"/>
  <c r="P22" i="4"/>
  <c r="R22" i="4"/>
  <c r="L22" i="4"/>
  <c r="O22" i="4"/>
  <c r="B23" i="4"/>
  <c r="T20" i="4"/>
  <c r="T21" i="4" s="1"/>
  <c r="D21" i="4"/>
  <c r="D20" i="4"/>
  <c r="F20" i="4"/>
  <c r="V20" i="4"/>
  <c r="V21" i="4" s="1"/>
  <c r="F21" i="4"/>
  <c r="W20" i="4"/>
  <c r="W21" i="4" s="1"/>
  <c r="G21" i="4"/>
  <c r="G20" i="4"/>
  <c r="Y20" i="4"/>
  <c r="Y21" i="4" s="1"/>
  <c r="I21" i="4"/>
  <c r="I20" i="4"/>
  <c r="U22" i="4" l="1"/>
  <c r="U23" i="4" s="1"/>
  <c r="E23" i="4"/>
  <c r="E22" i="4"/>
  <c r="X22" i="4"/>
  <c r="X23" i="4" s="1"/>
  <c r="H23" i="4"/>
  <c r="H22" i="4"/>
  <c r="Q24" i="4"/>
  <c r="L24" i="4"/>
  <c r="P24" i="4"/>
  <c r="N24" i="4"/>
  <c r="K26" i="4"/>
  <c r="M24" i="4"/>
  <c r="O24" i="4"/>
  <c r="R24" i="4"/>
  <c r="B25" i="4"/>
  <c r="B24" i="4"/>
  <c r="D23" i="4"/>
  <c r="D22" i="4"/>
  <c r="T22" i="4"/>
  <c r="T23" i="4" s="1"/>
  <c r="G22" i="4"/>
  <c r="G23" i="4"/>
  <c r="W22" i="4"/>
  <c r="W23" i="4" s="1"/>
  <c r="I23" i="4"/>
  <c r="Y22" i="4"/>
  <c r="Y23" i="4" s="1"/>
  <c r="I22" i="4"/>
  <c r="S22" i="4"/>
  <c r="S23" i="4" s="1"/>
  <c r="C23" i="4"/>
  <c r="C22" i="4"/>
  <c r="V22" i="4"/>
  <c r="V23" i="4" s="1"/>
  <c r="F23" i="4"/>
  <c r="F22" i="4"/>
  <c r="H25" i="4" l="1"/>
  <c r="X24" i="4"/>
  <c r="X25" i="4" s="1"/>
  <c r="H24" i="4"/>
  <c r="S24" i="4"/>
  <c r="S25" i="4" s="1"/>
  <c r="C25" i="4"/>
  <c r="C24" i="4"/>
  <c r="G24" i="4"/>
  <c r="W24" i="4"/>
  <c r="W25" i="4" s="1"/>
  <c r="G25" i="4"/>
  <c r="U24" i="4"/>
  <c r="U25" i="4" s="1"/>
  <c r="E25" i="4"/>
  <c r="E24" i="4"/>
  <c r="R26" i="4"/>
  <c r="K28" i="4"/>
  <c r="B26" i="4"/>
  <c r="P26" i="4"/>
  <c r="B27" i="4"/>
  <c r="L26" i="4"/>
  <c r="M26" i="4"/>
  <c r="O26" i="4"/>
  <c r="Q26" i="4"/>
  <c r="N26" i="4"/>
  <c r="D24" i="4"/>
  <c r="T24" i="4"/>
  <c r="T25" i="4" s="1"/>
  <c r="D25" i="4"/>
  <c r="V24" i="4"/>
  <c r="V25" i="4" s="1"/>
  <c r="F25" i="4"/>
  <c r="F24" i="4"/>
  <c r="I25" i="4"/>
  <c r="I24" i="4"/>
  <c r="Y24" i="4"/>
  <c r="Y25" i="4" s="1"/>
  <c r="Y26" i="4" l="1"/>
  <c r="Y27" i="4" s="1"/>
  <c r="I27" i="4"/>
  <c r="I26" i="4"/>
  <c r="Q28" i="4"/>
  <c r="K30" i="4"/>
  <c r="M28" i="4"/>
  <c r="O28" i="4"/>
  <c r="B29" i="4"/>
  <c r="B28" i="4"/>
  <c r="L28" i="4"/>
  <c r="P28" i="4"/>
  <c r="R28" i="4"/>
  <c r="N28" i="4"/>
  <c r="G27" i="4"/>
  <c r="G26" i="4"/>
  <c r="W26" i="4"/>
  <c r="W27" i="4" s="1"/>
  <c r="C27" i="4"/>
  <c r="S26" i="4"/>
  <c r="S27" i="4" s="1"/>
  <c r="C26" i="4"/>
  <c r="D26" i="4"/>
  <c r="D27" i="4"/>
  <c r="T26" i="4"/>
  <c r="T27" i="4" s="1"/>
  <c r="V26" i="4"/>
  <c r="V27" i="4" s="1"/>
  <c r="F26" i="4"/>
  <c r="F27" i="4"/>
  <c r="X26" i="4"/>
  <c r="X27" i="4" s="1"/>
  <c r="H27" i="4"/>
  <c r="H26" i="4"/>
  <c r="E26" i="4"/>
  <c r="U26" i="4"/>
  <c r="U27" i="4" s="1"/>
  <c r="E27" i="4"/>
  <c r="X28" i="4" l="1"/>
  <c r="X29" i="4" s="1"/>
  <c r="H28" i="4"/>
  <c r="H29" i="4"/>
  <c r="L30" i="4"/>
  <c r="M30" i="4"/>
  <c r="O30" i="4"/>
  <c r="Q30" i="4"/>
  <c r="B30" i="4"/>
  <c r="N30" i="4"/>
  <c r="P30" i="4"/>
  <c r="R30" i="4"/>
  <c r="B31" i="4"/>
  <c r="K32" i="4"/>
  <c r="D29" i="4"/>
  <c r="T28" i="4"/>
  <c r="T29" i="4" s="1"/>
  <c r="D28" i="4"/>
  <c r="F28" i="4"/>
  <c r="F29" i="4"/>
  <c r="V28" i="4"/>
  <c r="V29" i="4" s="1"/>
  <c r="C29" i="4"/>
  <c r="S28" i="4"/>
  <c r="S29" i="4" s="1"/>
  <c r="C28" i="4"/>
  <c r="G29" i="4"/>
  <c r="W28" i="4"/>
  <c r="W29" i="4" s="1"/>
  <c r="G28" i="4"/>
  <c r="I28" i="4"/>
  <c r="Y28" i="4"/>
  <c r="Y29" i="4" s="1"/>
  <c r="I29" i="4"/>
  <c r="U28" i="4"/>
  <c r="U29" i="4" s="1"/>
  <c r="E29" i="4"/>
  <c r="E28" i="4"/>
  <c r="S30" i="4" l="1"/>
  <c r="S31" i="4" s="1"/>
  <c r="C31" i="4"/>
  <c r="C30" i="4"/>
  <c r="T30" i="4"/>
  <c r="T31" i="4" s="1"/>
  <c r="D31" i="4"/>
  <c r="D30" i="4"/>
  <c r="V30" i="4"/>
  <c r="V31" i="4" s="1"/>
  <c r="F31" i="4"/>
  <c r="F30" i="4"/>
  <c r="X30" i="4"/>
  <c r="X31" i="4" s="1"/>
  <c r="H31" i="4"/>
  <c r="H30" i="4"/>
  <c r="U30" i="4"/>
  <c r="U31" i="4" s="1"/>
  <c r="E31" i="4"/>
  <c r="E30" i="4"/>
  <c r="W30" i="4"/>
  <c r="W31" i="4" s="1"/>
  <c r="G31" i="4"/>
  <c r="G30" i="4"/>
  <c r="I30" i="4"/>
  <c r="Y30" i="4"/>
  <c r="Y31" i="4" s="1"/>
  <c r="I31" i="4"/>
  <c r="M32" i="4"/>
  <c r="O32" i="4"/>
  <c r="R32" i="4"/>
  <c r="B33" i="4"/>
  <c r="B32" i="4"/>
  <c r="L32" i="4"/>
  <c r="N32" i="4"/>
  <c r="P32" i="4"/>
  <c r="Q32" i="4"/>
  <c r="K34" i="4"/>
  <c r="T32" i="4" l="1"/>
  <c r="T33" i="4" s="1"/>
  <c r="D33" i="4"/>
  <c r="D32" i="4"/>
  <c r="F32" i="4"/>
  <c r="V32" i="4"/>
  <c r="V33" i="4" s="1"/>
  <c r="F33" i="4"/>
  <c r="I32" i="4"/>
  <c r="Y32" i="4"/>
  <c r="Y33" i="4" s="1"/>
  <c r="I33" i="4"/>
  <c r="C33" i="4"/>
  <c r="S32" i="4"/>
  <c r="S33" i="4" s="1"/>
  <c r="C32" i="4"/>
  <c r="U32" i="4"/>
  <c r="U33" i="4" s="1"/>
  <c r="E33" i="4"/>
  <c r="E32" i="4"/>
  <c r="G33" i="4"/>
  <c r="G32" i="4"/>
  <c r="W32" i="4"/>
  <c r="W33" i="4" s="1"/>
  <c r="X32" i="4"/>
  <c r="X33" i="4" s="1"/>
  <c r="H33" i="4"/>
  <c r="H32" i="4"/>
  <c r="L34" i="4"/>
  <c r="M34" i="4"/>
  <c r="N34" i="4"/>
  <c r="O34" i="4"/>
  <c r="P34" i="4"/>
  <c r="Q34" i="4"/>
  <c r="R34" i="4"/>
  <c r="B35" i="4"/>
  <c r="K36" i="4"/>
  <c r="B34" i="4"/>
  <c r="S34" i="4" l="1"/>
  <c r="S35" i="4" s="1"/>
  <c r="C35" i="4"/>
  <c r="C34" i="4"/>
  <c r="T34" i="4"/>
  <c r="T35" i="4" s="1"/>
  <c r="D35" i="4"/>
  <c r="D34" i="4"/>
  <c r="U34" i="4"/>
  <c r="U35" i="4" s="1"/>
  <c r="E35" i="4"/>
  <c r="E34" i="4"/>
  <c r="V34" i="4"/>
  <c r="V35" i="4" s="1"/>
  <c r="F35" i="4"/>
  <c r="F34" i="4"/>
  <c r="W34" i="4"/>
  <c r="W35" i="4" s="1"/>
  <c r="G35" i="4"/>
  <c r="G34" i="4"/>
  <c r="X34" i="4"/>
  <c r="X35" i="4" s="1"/>
  <c r="H35" i="4"/>
  <c r="H34" i="4"/>
  <c r="Y34" i="4"/>
  <c r="Y35" i="4" s="1"/>
  <c r="I35" i="4"/>
  <c r="I34" i="4"/>
  <c r="L36" i="4"/>
  <c r="M36" i="4"/>
  <c r="N36" i="4"/>
  <c r="O36" i="4"/>
  <c r="P36" i="4"/>
  <c r="Q36" i="4"/>
  <c r="R36" i="4"/>
  <c r="B37" i="4"/>
  <c r="K38" i="4"/>
  <c r="B36" i="4"/>
  <c r="S36" i="4" l="1"/>
  <c r="S37" i="4" s="1"/>
  <c r="C37" i="4"/>
  <c r="C36" i="4"/>
  <c r="T36" i="4"/>
  <c r="T37" i="4" s="1"/>
  <c r="D37" i="4"/>
  <c r="D36" i="4"/>
  <c r="U36" i="4"/>
  <c r="U37" i="4" s="1"/>
  <c r="E37" i="4"/>
  <c r="E36" i="4"/>
  <c r="V36" i="4"/>
  <c r="V37" i="4" s="1"/>
  <c r="F37" i="4"/>
  <c r="F36" i="4"/>
  <c r="W36" i="4"/>
  <c r="W37" i="4" s="1"/>
  <c r="G37" i="4"/>
  <c r="G36" i="4"/>
  <c r="X36" i="4"/>
  <c r="X37" i="4" s="1"/>
  <c r="H37" i="4"/>
  <c r="H36" i="4"/>
  <c r="Y36" i="4"/>
  <c r="Y37" i="4" s="1"/>
  <c r="I37" i="4"/>
  <c r="I36" i="4"/>
  <c r="L38" i="4"/>
  <c r="M38" i="4"/>
  <c r="N38" i="4"/>
  <c r="O38" i="4"/>
  <c r="P38" i="4"/>
  <c r="Q38" i="4"/>
  <c r="R38" i="4"/>
  <c r="B39" i="4"/>
  <c r="K40" i="4"/>
  <c r="B38" i="4"/>
  <c r="S38" i="4" l="1"/>
  <c r="S39" i="4" s="1"/>
  <c r="C39" i="4"/>
  <c r="C38" i="4"/>
  <c r="T38" i="4"/>
  <c r="T39" i="4" s="1"/>
  <c r="D39" i="4"/>
  <c r="D38" i="4"/>
  <c r="U38" i="4"/>
  <c r="U39" i="4" s="1"/>
  <c r="E39" i="4"/>
  <c r="E38" i="4"/>
  <c r="V38" i="4"/>
  <c r="V39" i="4" s="1"/>
  <c r="F39" i="4"/>
  <c r="F38" i="4"/>
  <c r="W38" i="4"/>
  <c r="W39" i="4" s="1"/>
  <c r="G39" i="4"/>
  <c r="G38" i="4"/>
  <c r="X38" i="4"/>
  <c r="X39" i="4" s="1"/>
  <c r="H39" i="4"/>
  <c r="H38" i="4"/>
  <c r="Y38" i="4"/>
  <c r="Y39" i="4" s="1"/>
  <c r="I39" i="4"/>
  <c r="I38" i="4"/>
  <c r="L40" i="4"/>
  <c r="M40" i="4"/>
  <c r="N40" i="4"/>
  <c r="O40" i="4"/>
  <c r="P40" i="4"/>
  <c r="Q40" i="4"/>
  <c r="R40" i="4"/>
  <c r="B41" i="4"/>
  <c r="K42" i="4"/>
  <c r="B40" i="4"/>
  <c r="S40" i="4" l="1"/>
  <c r="S41" i="4" s="1"/>
  <c r="C41" i="4"/>
  <c r="C40" i="4"/>
  <c r="T40" i="4"/>
  <c r="T41" i="4" s="1"/>
  <c r="D41" i="4"/>
  <c r="D40" i="4"/>
  <c r="U40" i="4"/>
  <c r="U41" i="4" s="1"/>
  <c r="E41" i="4"/>
  <c r="E40" i="4"/>
  <c r="V40" i="4"/>
  <c r="V41" i="4" s="1"/>
  <c r="F41" i="4"/>
  <c r="F40" i="4"/>
  <c r="W40" i="4"/>
  <c r="W41" i="4" s="1"/>
  <c r="G41" i="4"/>
  <c r="G40" i="4"/>
  <c r="X40" i="4"/>
  <c r="X41" i="4" s="1"/>
  <c r="H41" i="4"/>
  <c r="H40" i="4"/>
  <c r="Y40" i="4"/>
  <c r="Y41" i="4" s="1"/>
  <c r="I41" i="4"/>
  <c r="I40" i="4"/>
  <c r="L42" i="4"/>
  <c r="M42" i="4"/>
  <c r="N42" i="4"/>
  <c r="O42" i="4"/>
  <c r="P42" i="4"/>
  <c r="Q42" i="4"/>
  <c r="R42" i="4"/>
  <c r="B43" i="4"/>
  <c r="K44" i="4"/>
  <c r="B42" i="4"/>
  <c r="S42" i="4" l="1"/>
  <c r="S43" i="4" s="1"/>
  <c r="C43" i="4"/>
  <c r="C42" i="4"/>
  <c r="T42" i="4"/>
  <c r="T43" i="4" s="1"/>
  <c r="D43" i="4"/>
  <c r="D42" i="4"/>
  <c r="U42" i="4"/>
  <c r="U43" i="4" s="1"/>
  <c r="E43" i="4"/>
  <c r="E42" i="4"/>
  <c r="V42" i="4"/>
  <c r="V43" i="4" s="1"/>
  <c r="F43" i="4"/>
  <c r="F42" i="4"/>
  <c r="W42" i="4"/>
  <c r="W43" i="4" s="1"/>
  <c r="G43" i="4"/>
  <c r="G42" i="4"/>
  <c r="X42" i="4"/>
  <c r="X43" i="4" s="1"/>
  <c r="H43" i="4"/>
  <c r="H42" i="4"/>
  <c r="Y42" i="4"/>
  <c r="Y43" i="4" s="1"/>
  <c r="I43" i="4"/>
  <c r="I42" i="4"/>
  <c r="L44" i="4"/>
  <c r="M44" i="4"/>
  <c r="K46" i="4"/>
  <c r="N44" i="4"/>
  <c r="O44" i="4"/>
  <c r="P44" i="4"/>
  <c r="Q44" i="4"/>
  <c r="R44" i="4"/>
  <c r="B45" i="4"/>
  <c r="B44" i="4"/>
  <c r="C45" i="4" l="1"/>
  <c r="S44" i="4"/>
  <c r="S45" i="4" s="1"/>
  <c r="C44" i="4"/>
  <c r="T44" i="4"/>
  <c r="T45" i="4" s="1"/>
  <c r="D45" i="4"/>
  <c r="D44" i="4"/>
  <c r="N46" i="4"/>
  <c r="Q46" i="4"/>
  <c r="B47" i="4"/>
  <c r="B46" i="4"/>
  <c r="L46" i="4"/>
  <c r="M46" i="4"/>
  <c r="O46" i="4"/>
  <c r="P46" i="4"/>
  <c r="R46" i="4"/>
  <c r="K48" i="4"/>
  <c r="E44" i="4"/>
  <c r="U44" i="4"/>
  <c r="U45" i="4" s="1"/>
  <c r="E45" i="4"/>
  <c r="V44" i="4"/>
  <c r="V45" i="4" s="1"/>
  <c r="F45" i="4"/>
  <c r="F44" i="4"/>
  <c r="G45" i="4"/>
  <c r="G44" i="4"/>
  <c r="W44" i="4"/>
  <c r="W45" i="4" s="1"/>
  <c r="X44" i="4"/>
  <c r="X45" i="4" s="1"/>
  <c r="H44" i="4"/>
  <c r="H45" i="4"/>
  <c r="I45" i="4"/>
  <c r="I44" i="4"/>
  <c r="Y44" i="4"/>
  <c r="Y45" i="4" s="1"/>
  <c r="U46" i="4" l="1"/>
  <c r="U47" i="4" s="1"/>
  <c r="E46" i="4"/>
  <c r="E47" i="4"/>
  <c r="H47" i="4"/>
  <c r="H46" i="4"/>
  <c r="X46" i="4"/>
  <c r="X47" i="4" s="1"/>
  <c r="C47" i="4"/>
  <c r="S46" i="4"/>
  <c r="S47" i="4" s="1"/>
  <c r="C46" i="4"/>
  <c r="T46" i="4"/>
  <c r="T47" i="4" s="1"/>
  <c r="D47" i="4"/>
  <c r="D46" i="4"/>
  <c r="V46" i="4"/>
  <c r="V47" i="4" s="1"/>
  <c r="F47" i="4"/>
  <c r="F46" i="4"/>
  <c r="G47" i="4"/>
  <c r="G46" i="4"/>
  <c r="W46" i="4"/>
  <c r="W47" i="4" s="1"/>
  <c r="Y46" i="4"/>
  <c r="Y47" i="4" s="1"/>
  <c r="I47" i="4"/>
  <c r="I46" i="4"/>
  <c r="M48" i="4"/>
  <c r="N48" i="4"/>
  <c r="Q48" i="4"/>
  <c r="L48" i="4"/>
  <c r="O48" i="4"/>
  <c r="P48" i="4"/>
  <c r="R48" i="4"/>
  <c r="B49" i="4"/>
  <c r="K50" i="4"/>
  <c r="B48" i="4"/>
  <c r="T48" i="4" l="1"/>
  <c r="T49" i="4" s="1"/>
  <c r="D49" i="4"/>
  <c r="D48" i="4"/>
  <c r="U48" i="4"/>
  <c r="U49" i="4" s="1"/>
  <c r="E49" i="4"/>
  <c r="E48" i="4"/>
  <c r="X48" i="4"/>
  <c r="X49" i="4" s="1"/>
  <c r="H49" i="4"/>
  <c r="H48" i="4"/>
  <c r="S48" i="4"/>
  <c r="S49" i="4" s="1"/>
  <c r="C49" i="4"/>
  <c r="C48" i="4"/>
  <c r="V48" i="4"/>
  <c r="V49" i="4" s="1"/>
  <c r="F49" i="4"/>
  <c r="F48" i="4"/>
  <c r="W48" i="4"/>
  <c r="W49" i="4" s="1"/>
  <c r="G49" i="4"/>
  <c r="G48" i="4"/>
  <c r="I49" i="4"/>
  <c r="Y48" i="4"/>
  <c r="Y49" i="4" s="1"/>
  <c r="I48" i="4"/>
  <c r="L50" i="4"/>
  <c r="M50" i="4"/>
  <c r="N50" i="4"/>
  <c r="P50" i="4"/>
  <c r="B51" i="4"/>
  <c r="K52" i="4"/>
  <c r="O50" i="4"/>
  <c r="Q50" i="4"/>
  <c r="R50" i="4"/>
  <c r="B50" i="4"/>
  <c r="C50" i="4" l="1"/>
  <c r="S50" i="4"/>
  <c r="S51" i="4" s="1"/>
  <c r="C51" i="4"/>
  <c r="T50" i="4"/>
  <c r="T51" i="4" s="1"/>
  <c r="D50" i="4"/>
  <c r="D51" i="4"/>
  <c r="U50" i="4"/>
  <c r="U51" i="4" s="1"/>
  <c r="E50" i="4"/>
  <c r="E51" i="4"/>
  <c r="G51" i="4"/>
  <c r="W50" i="4"/>
  <c r="W51" i="4" s="1"/>
  <c r="G50" i="4"/>
  <c r="L52" i="4"/>
  <c r="M52" i="4"/>
  <c r="N52" i="4"/>
  <c r="O52" i="4"/>
  <c r="P52" i="4"/>
  <c r="Q52" i="4"/>
  <c r="R52" i="4"/>
  <c r="B53" i="4"/>
  <c r="K54" i="4"/>
  <c r="B52" i="4"/>
  <c r="V50" i="4"/>
  <c r="V51" i="4" s="1"/>
  <c r="F51" i="4"/>
  <c r="F50" i="4"/>
  <c r="H50" i="4"/>
  <c r="X50" i="4"/>
  <c r="X51" i="4" s="1"/>
  <c r="H51" i="4"/>
  <c r="Y50" i="4"/>
  <c r="Y51" i="4" s="1"/>
  <c r="I50" i="4"/>
  <c r="I51" i="4"/>
  <c r="S52" i="4" l="1"/>
  <c r="S53" i="4" s="1"/>
  <c r="C53" i="4"/>
  <c r="C52" i="4"/>
  <c r="T52" i="4"/>
  <c r="T53" i="4" s="1"/>
  <c r="D53" i="4"/>
  <c r="D52" i="4"/>
  <c r="U52" i="4"/>
  <c r="U53" i="4" s="1"/>
  <c r="E53" i="4"/>
  <c r="E52" i="4"/>
  <c r="V52" i="4"/>
  <c r="V53" i="4" s="1"/>
  <c r="F53" i="4"/>
  <c r="F52" i="4"/>
  <c r="W52" i="4"/>
  <c r="W53" i="4" s="1"/>
  <c r="G53" i="4"/>
  <c r="G52" i="4"/>
  <c r="X52" i="4"/>
  <c r="X53" i="4" s="1"/>
  <c r="H53" i="4"/>
  <c r="H52" i="4"/>
  <c r="Y52" i="4"/>
  <c r="Y53" i="4" s="1"/>
  <c r="I53" i="4"/>
  <c r="I52" i="4"/>
  <c r="L54" i="4"/>
  <c r="M54" i="4"/>
  <c r="N54" i="4"/>
  <c r="O54" i="4"/>
  <c r="P54" i="4"/>
  <c r="Q54" i="4"/>
  <c r="R54" i="4"/>
  <c r="B55" i="4"/>
  <c r="K56" i="4"/>
  <c r="B54" i="4"/>
  <c r="S54" i="4" l="1"/>
  <c r="S55" i="4" s="1"/>
  <c r="C55" i="4"/>
  <c r="C54" i="4"/>
  <c r="T54" i="4"/>
  <c r="T55" i="4" s="1"/>
  <c r="D55" i="4"/>
  <c r="D54" i="4"/>
  <c r="U54" i="4"/>
  <c r="U55" i="4" s="1"/>
  <c r="E55" i="4"/>
  <c r="E54" i="4"/>
  <c r="V54" i="4"/>
  <c r="V55" i="4" s="1"/>
  <c r="F55" i="4"/>
  <c r="F54" i="4"/>
  <c r="W54" i="4"/>
  <c r="W55" i="4" s="1"/>
  <c r="G55" i="4"/>
  <c r="G54" i="4"/>
  <c r="X54" i="4"/>
  <c r="X55" i="4" s="1"/>
  <c r="H55" i="4"/>
  <c r="H54" i="4"/>
  <c r="Y54" i="4"/>
  <c r="Y55" i="4" s="1"/>
  <c r="I55" i="4"/>
  <c r="I54" i="4"/>
  <c r="L56" i="4"/>
  <c r="M56" i="4"/>
  <c r="N56" i="4"/>
  <c r="O56" i="4"/>
  <c r="P56" i="4"/>
  <c r="Q56" i="4"/>
  <c r="R56" i="4"/>
  <c r="B57" i="4"/>
  <c r="K58" i="4"/>
  <c r="B56" i="4"/>
  <c r="S56" i="4" l="1"/>
  <c r="S57" i="4" s="1"/>
  <c r="C57" i="4"/>
  <c r="C56" i="4"/>
  <c r="T56" i="4"/>
  <c r="T57" i="4" s="1"/>
  <c r="D57" i="4"/>
  <c r="D56" i="4"/>
  <c r="U56" i="4"/>
  <c r="U57" i="4" s="1"/>
  <c r="E57" i="4"/>
  <c r="E56" i="4"/>
  <c r="V56" i="4"/>
  <c r="V57" i="4" s="1"/>
  <c r="F57" i="4"/>
  <c r="F56" i="4"/>
  <c r="W56" i="4"/>
  <c r="W57" i="4" s="1"/>
  <c r="G57" i="4"/>
  <c r="G56" i="4"/>
  <c r="X56" i="4"/>
  <c r="X57" i="4" s="1"/>
  <c r="H57" i="4"/>
  <c r="H56" i="4"/>
  <c r="Y56" i="4"/>
  <c r="Y57" i="4" s="1"/>
  <c r="I57" i="4"/>
  <c r="I56" i="4"/>
  <c r="L58" i="4"/>
  <c r="M58" i="4"/>
  <c r="N58" i="4"/>
  <c r="O58" i="4"/>
  <c r="P58" i="4"/>
  <c r="Q58" i="4"/>
  <c r="R58" i="4"/>
  <c r="B59" i="4"/>
  <c r="K60" i="4"/>
  <c r="B58" i="4"/>
  <c r="S58" i="4" l="1"/>
  <c r="S59" i="4" s="1"/>
  <c r="C59" i="4"/>
  <c r="C58" i="4"/>
  <c r="T58" i="4"/>
  <c r="T59" i="4" s="1"/>
  <c r="D59" i="4"/>
  <c r="D58" i="4"/>
  <c r="U58" i="4"/>
  <c r="U59" i="4" s="1"/>
  <c r="E59" i="4"/>
  <c r="E58" i="4"/>
  <c r="V58" i="4"/>
  <c r="V59" i="4" s="1"/>
  <c r="F59" i="4"/>
  <c r="F58" i="4"/>
  <c r="W58" i="4"/>
  <c r="W59" i="4" s="1"/>
  <c r="G59" i="4"/>
  <c r="G58" i="4"/>
  <c r="X58" i="4"/>
  <c r="X59" i="4" s="1"/>
  <c r="H59" i="4"/>
  <c r="H58" i="4"/>
  <c r="Y58" i="4"/>
  <c r="Y59" i="4" s="1"/>
  <c r="I59" i="4"/>
  <c r="I58" i="4"/>
  <c r="L60" i="4"/>
  <c r="M60" i="4"/>
  <c r="N60" i="4"/>
  <c r="O60" i="4"/>
  <c r="P60" i="4"/>
  <c r="Q60" i="4"/>
  <c r="R60" i="4"/>
  <c r="B61" i="4"/>
  <c r="K62" i="4"/>
  <c r="B60" i="4"/>
  <c r="S60" i="4" l="1"/>
  <c r="S61" i="4" s="1"/>
  <c r="C61" i="4"/>
  <c r="C60" i="4"/>
  <c r="T60" i="4"/>
  <c r="T61" i="4" s="1"/>
  <c r="D61" i="4"/>
  <c r="D60" i="4"/>
  <c r="U60" i="4"/>
  <c r="U61" i="4" s="1"/>
  <c r="E61" i="4"/>
  <c r="E60" i="4"/>
  <c r="V60" i="4"/>
  <c r="V61" i="4" s="1"/>
  <c r="F61" i="4"/>
  <c r="F60" i="4"/>
  <c r="W60" i="4"/>
  <c r="W61" i="4" s="1"/>
  <c r="G61" i="4"/>
  <c r="G60" i="4"/>
  <c r="X60" i="4"/>
  <c r="X61" i="4" s="1"/>
  <c r="H61" i="4"/>
  <c r="H60" i="4"/>
  <c r="Y60" i="4"/>
  <c r="Y61" i="4" s="1"/>
  <c r="I61" i="4"/>
  <c r="I60" i="4"/>
  <c r="L62" i="4"/>
  <c r="M62" i="4"/>
  <c r="N62" i="4"/>
  <c r="O62" i="4"/>
  <c r="P62" i="4"/>
  <c r="Q62" i="4"/>
  <c r="R62" i="4"/>
  <c r="B63" i="4"/>
  <c r="K64" i="4"/>
  <c r="B62" i="4"/>
  <c r="S62" i="4" l="1"/>
  <c r="S63" i="4" s="1"/>
  <c r="C63" i="4"/>
  <c r="C62" i="4"/>
  <c r="T62" i="4"/>
  <c r="T63" i="4" s="1"/>
  <c r="D63" i="4"/>
  <c r="D62" i="4"/>
  <c r="U62" i="4"/>
  <c r="U63" i="4" s="1"/>
  <c r="E63" i="4"/>
  <c r="E62" i="4"/>
  <c r="V62" i="4"/>
  <c r="V63" i="4" s="1"/>
  <c r="F63" i="4"/>
  <c r="F62" i="4"/>
  <c r="W62" i="4"/>
  <c r="W63" i="4" s="1"/>
  <c r="G63" i="4"/>
  <c r="G62" i="4"/>
  <c r="X62" i="4"/>
  <c r="X63" i="4" s="1"/>
  <c r="H63" i="4"/>
  <c r="H62" i="4"/>
  <c r="Y62" i="4"/>
  <c r="Y63" i="4" s="1"/>
  <c r="I63" i="4"/>
  <c r="I62" i="4"/>
  <c r="K4" i="4"/>
  <c r="L64" i="4"/>
  <c r="M64" i="4"/>
  <c r="N64" i="4"/>
  <c r="O64" i="4"/>
  <c r="P64" i="4"/>
  <c r="Q64" i="4"/>
  <c r="R64" i="4"/>
  <c r="B65" i="4"/>
  <c r="C4" i="4"/>
  <c r="B64" i="4"/>
  <c r="S64" i="4" l="1"/>
  <c r="S65" i="4" s="1"/>
  <c r="C65" i="4"/>
  <c r="C64" i="4"/>
  <c r="T64" i="4"/>
  <c r="T65" i="4" s="1"/>
  <c r="D65" i="4"/>
  <c r="D64" i="4"/>
  <c r="U64" i="4"/>
  <c r="U65" i="4" s="1"/>
  <c r="E65" i="4"/>
  <c r="E64" i="4"/>
  <c r="V64" i="4"/>
  <c r="V65" i="4" s="1"/>
  <c r="F65" i="4"/>
  <c r="F64" i="4"/>
  <c r="W64" i="4"/>
  <c r="W65" i="4" s="1"/>
  <c r="G65" i="4"/>
  <c r="G64" i="4"/>
  <c r="X64" i="4"/>
  <c r="X65" i="4" s="1"/>
  <c r="H65" i="4"/>
  <c r="H64" i="4"/>
  <c r="Y64" i="4"/>
  <c r="Y65" i="4" s="1"/>
  <c r="I65" i="4"/>
  <c r="I6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G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Cuántas personas caben en esa sala para una clase. Es el número de plazas por defecto de cada clase.</t>
        </r>
      </text>
    </comment>
    <comment ref="B7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Sale como subtítulo en la hoja «Horario», debajo del nombre del centro.</t>
        </r>
      </text>
    </comment>
    <comment ref="B8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Sale arriba a la derecha del horario impreso. Puedes dejarla vacía.</t>
        </r>
      </text>
    </comment>
    <comment ref="B9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El lunes de la primera semana que apuntas en «Asistencia». Las 12 semanas se cuentan desde aquí.</t>
        </r>
      </text>
    </comment>
    <comment ref="B12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 que paga de media un socio al mes. Si tienes varias tarifas, súmalas todas y divide entre los socios activos. Orientativo: cámbialo por tu cifra.</t>
        </r>
      </text>
    </comment>
    <comment ref="B13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Cuántas clases hace de media un socio al mes. Si no lo sabes, cuenta las asistencias de un mes y divídelas entre los socios activos.</t>
        </r>
      </text>
    </comment>
    <comment ref="G13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Lo que te cuesta una hora de clase de ese monitor. Si es autónomo, lo que te factura por hora; si está en nómina, sueldo bruto + Seguridad Social ÷ horas trabajadas.
Los importes de ejemplo son orientativos: pon los tuyos.</t>
        </r>
      </text>
    </comment>
    <comment ref="B14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Si prefieres fijar tú el valor, escríbelo aquí y manda sobre el cálculo. Déjalo vacío para usar cuota ÷ asistencias.</t>
        </r>
      </text>
    </comment>
    <comment ref="B15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Ingreso imputado por plaza ocupada: lo que «vale» que una persona venga a una clase.
Cómo estimarlo: cuota media ÷ asistencias medias al mes. Ejemplo: 62 € ÷ 9 clases = 6,89 € por asistencia. Si vendes bonos, usa precio del bono ÷ clases del bono.
No es dinero que entra en caja: sirve para comparar unas clases con otras.</t>
        </r>
      </text>
    </comment>
    <comment ref="B18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>Los colores y las recomendaciones de «Ocupación», «Resumen» y «Panel» usan estos umbrales. Cámbialos si en tu centro una clase al 50 % ya es buena.</t>
        </r>
      </text>
    </comment>
    <comment ref="B21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>Si una clase pierde más de este porcentaje (últimas 4 semanas frente a las 4 primeras), la recomendación avisa de que va a menos.</t>
        </r>
      </text>
    </comment>
    <comment ref="B23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>Sirven para el mapa de calor de «Resumen» y el gráfico por franja del «Panel». Escribe las horas de menor a mayor: cada clase cae en la franja cuya hora de inicio es la última que ya ha pasado.</t>
        </r>
      </text>
    </comment>
    <comment ref="E25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>Cada fila tiene un color fijo, el que verás en el horario y en los gráficos. Si quieres otro color para una actividad, escríbela en otra fila (y cambia su nombre en «Clases» si hace falta).</t>
        </r>
      </text>
    </comment>
    <comment ref="F25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>Si cambias el nombre de una actividad, cámbialo también en «Clases»: las clases con el nombre antiguo saldrán con aviso.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B5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Número de la clase. Sale solo y es el mismo en «Asistencia» y «Ocupación». El color es el de su actividad.</t>
        </r>
      </text>
    </comment>
    <comment ref="D5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Escribe la hora así: 19:00.</t>
        </r>
      </text>
    </comment>
    <comment ref="H5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Déjalo vacío y se usan las plazas del aforo de la sala. Escribe un número si esa clase tiene menos plazas (por material, por ejemplo).</t>
        </r>
      </text>
    </comment>
    <comment ref="M5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Coste por hora del monitor × duración de la clase.</t>
        </r>
      </text>
    </comment>
    <comment ref="N5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Avisa si falta un dato, si dos clases se solapan en la misma sala o si un monitor tiene dos clases a la vez.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B5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Cada fila es una hora de inicio en una sala (la sala va debajo de la hora). Si a las 19:00 hay clase en dos salas, verás dos filas de 19:00. Solo salen las horas que usas.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H5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Escribe cuántas personas vinieron a cada clase esa semana. Vacío = esa semana no hubo clase (festivo, vacaciones): no cuenta para la media. 0 = hubo clase y no vino nadie.</t>
        </r>
      </text>
    </comment>
    <comment ref="U5" authorId="0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Media de asistentes ÷ plazas. En rojo si pasa de las plazas.</t>
        </r>
      </text>
    </comment>
    <comment ref="B8" authorId="0" shapeId="0" xr:uid="{00000000-0006-0000-0400-000003000000}">
      <text>
        <r>
          <rPr>
            <sz val="11"/>
            <color theme="1"/>
            <rFont val="Calibri"/>
            <family val="2"/>
            <scheme val="minor"/>
          </rPr>
          <t>Asistentes de la semana ÷ plazas de las clases que hubo esa semana (las vacías no cuentan).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I5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Semanas con asistencia apuntada (las vacías no cuentan).</t>
        </r>
      </text>
    </comment>
    <comment ref="K5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Media de asistentes ÷ plazas de la clase.</t>
        </r>
      </text>
    </comment>
    <comment ref="O5" authorId="0" shapeId="0" xr:uid="{00000000-0006-0000-0500-000003000000}">
      <text>
        <r>
          <rPr>
            <sz val="11"/>
            <color theme="1"/>
            <rFont val="Calibri"/>
            <family val="2"/>
            <scheme val="minor"/>
          </rPr>
          <t>Media de las 4 últimas semanas apuntadas frente a la de las 4 primeras. Necesita al menos 8 semanas apuntadas.</t>
        </r>
      </text>
    </comment>
    <comment ref="P5" authorId="0" shapeId="0" xr:uid="{00000000-0006-0000-0500-000004000000}">
      <text>
        <r>
          <rPr>
            <sz val="11"/>
            <color theme="1"/>
            <rFont val="Calibri"/>
            <family val="2"/>
            <scheme val="minor"/>
          </rPr>
          <t>Media de asistentes × valor de una asistencia («Configuración»). Es una estimación para comparar clases, no dinero que entra en caja.</t>
        </r>
      </text>
    </comment>
    <comment ref="Q5" authorId="0" shapeId="0" xr:uid="{00000000-0006-0000-0500-000005000000}">
      <text>
        <r>
          <rPr>
            <sz val="11"/>
            <color theme="1"/>
            <rFont val="Calibri"/>
            <family val="2"/>
            <scheme val="minor"/>
          </rPr>
          <t>Coste por hora del monitor × duración de la clase.</t>
        </r>
      </text>
    </comment>
    <comment ref="R5" authorId="0" shapeId="0" xr:uid="{00000000-0006-0000-0500-000006000000}">
      <text>
        <r>
          <rPr>
            <sz val="11"/>
            <color theme="1"/>
            <rFont val="Calibri"/>
            <family val="2"/>
            <scheme val="minor"/>
          </rPr>
          <t>Ingreso imputado − coste del monitor, por cada vez que se da la clase.</t>
        </r>
      </text>
    </comment>
    <comment ref="S5" authorId="0" shapeId="0" xr:uid="{00000000-0006-0000-0500-000007000000}">
      <text>
        <r>
          <rPr>
            <sz val="11"/>
            <color theme="1"/>
            <rFont val="Calibri"/>
            <family val="2"/>
            <scheme val="minor"/>
          </rPr>
          <t>Sale sola, por este orden: llena → abre otra sesión; ocupación baja → revisa horario o formato; no cubre el coste; va a menos; ocupación media → dale visibilidad; si no, va bien. Los umbrales están en «Configuración».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H26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Asistentes × valor de una asistencia. Solo cuentan las clases con asistencia apuntada (también en coste y margen).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GymGym</author>
  </authors>
  <commentList>
    <comment ref="L5" authorId="0" shapeId="0" xr:uid="{00000000-0006-0000-0700-000001000000}">
      <text>
        <r>
          <rPr>
            <sz val="11"/>
            <color theme="1"/>
            <rFont val="Calibri"/>
            <family val="2"/>
            <scheme val="minor"/>
          </rPr>
          <t>Suma del margen por clase de «Ocupación»: ingreso imputado (asistentes × valor de una asistencia) menos coste del monitor. Una estimación para comparar, no la caja real.</t>
        </r>
      </text>
    </comment>
  </commentList>
</comments>
</file>

<file path=xl/sharedStrings.xml><?xml version="1.0" encoding="utf-8"?>
<sst xmlns="http://schemas.openxmlformats.org/spreadsheetml/2006/main" count="402" uniqueCount="183">
  <si>
    <t>Horario de clases y ocupación</t>
  </si>
  <si>
    <t>Monta el horario semanal una vez, apunta quién viene a cada clase y descubre qué clases se llenan, cuáles se quedan vacías, qué horas funcionan y cuánto deja cada clase frente a lo que cuesta.</t>
  </si>
  <si>
    <t>Cómo se usa, en 5 pasos</t>
  </si>
  <si>
    <t>Configura tu centro</t>
  </si>
  <si>
    <t>En «Configuración»: nombre del centro, salas con su aforo, monitores con su coste por hora, actividades con su duración y el valor de una asistencia (cuota media ÷ asistencias al mes).</t>
  </si>
  <si>
    <t>Apunta tus clases</t>
  </si>
  <si>
    <t>En «Clases», una fila por cada clase de la semana: día, hora, actividad, sala y monitor, todo con desplegables. Las plazas salen del aforo de la sala si no pones otras.</t>
  </si>
  <si>
    <t>Imprime el horario</t>
  </si>
  <si>
    <t>La hoja «Horario» se monta sola, con un color por actividad. Está lista para imprimir en A4 apaisado y colgar en recepción o compartir en una foto.</t>
  </si>
  <si>
    <t>Apunta la asistencia cada semana</t>
  </si>
  <si>
    <t>En «Asistencia», cuántas personas vinieron a cada clase. Caben 12 semanas: un trimestre. Te lleva cinco minutos con la lista de reservas o de la clase delante.</t>
  </si>
  <si>
    <t>Mira qué funciona</t>
  </si>
  <si>
    <t>En «Ocupación», «Resumen» y «Panel»: ocupación de cada clase, si sube o baja, margen estimado y una recomendación automática (por ejemplo, «Casi llena: abre otra sesión»).</t>
  </si>
  <si>
    <t>Cómo se lee el horario</t>
  </si>
  <si>
    <t>Cada fila del horario es una hora de inicio en una sala, con el nombre de la sala debajo de la hora. Si a las 19:00 hay clase en el Box y en el Estudio, verás dos filas de 19:00, una por sala: dos clases a la vez nunca se pisan y cada una conserva su color.</t>
  </si>
  <si>
    <t>Solo salen las horas en las que hay alguna clase, así que no quedan filas vacías entre la mañana y la tarde. Caben 30 combinaciones de hora y sala, y al imprimir la hoja se ajusta sola a las filas que usas.</t>
  </si>
  <si>
    <t>Si dos clases empiezan a la misma hora, el mismo día y en la misma sala, la casilla dice «2 clases a la vez» en rojo. La columna «Aviso» de «Clases» te dice cuál revisar.</t>
  </si>
  <si>
    <t>Cómo leer los colores</t>
  </si>
  <si>
    <t>Celdas verde agua: las rellenas tú. Todo lo demás se calcula solo; mejor no tocarlo.</t>
  </si>
  <si>
    <t>Celdas blancas o grises: fórmulas.</t>
  </si>
  <si>
    <t>Texto en rojo: algo que revisar (una clase que se solapa, una actividad que no existe, más asistentes que plazas…).</t>
  </si>
  <si>
    <t>Pestañas: verde agua = las rellenas tú · violeta = se calculan solas.</t>
  </si>
  <si>
    <t>Ocupación: rojo por debajo del 40 % · ámbar de 40 a 65 % · verde de 65 a 90 % · verde agua del 90 % en adelante. Los umbrales se cambian en «Configuración».</t>
  </si>
  <si>
    <t>Los 12 colores de las actividades (uno por fila en «Configuración»):</t>
  </si>
  <si>
    <t>Para empezar con tus datos</t>
  </si>
  <si>
    <t>Ahora ves un «Centro de ejemplo» con 37 clases y 12 semanas de asistencia inventadas, para que todo se vea funcionando.</t>
  </si>
  <si>
    <t>1.  En «Asistencia», selecciona las semanas (desde H9 hasta S68) y pulsa Suprimir.</t>
  </si>
  <si>
    <t>2.  En «Clases», selecciona desde C6 hasta H65 y pulsa Suprimir.</t>
  </si>
  <si>
    <t>3.  En «Configuración», escribe encima tus salas, monitores, actividades y cifras, y pon el lunes en que empiezas a apuntar.</t>
  </si>
  <si>
    <t>Bueno saber</t>
  </si>
  <si>
    <t>•   No ordenes ni borres filas en «Clases»: cada fila es la misma clase en «Asistencia» y «Ocupación». Para quitar una clase, vacía su fila (y su asistencia).</t>
  </si>
  <si>
    <t>•   Si una semana no hubo clase (festivo, vacaciones), deja la casilla vacía: no cuenta para la media. Pon 0 solo si hubo clase y no vino nadie.</t>
  </si>
  <si>
    <t>•   El margen es una estimación para comparar clases entre sí: reparte la cuota entre las asistencias («ingreso imputado») y le resta lo que cuesta el monitor. No es el dinero que entra en caja.</t>
  </si>
  <si>
    <t>•   Para otro trimestre, guarda una copia del archivo, cambia el lunes de la semana 1 y vacía la asistencia.</t>
  </si>
  <si>
    <t>•   Funciona en Excel, Google Sheets, LibreOffice y Numbers. En Google Sheets no se ven las barras de datos de «Asistencia», el resto sí.</t>
  </si>
  <si>
    <t>Más plantillas gratis para tu centro en gymgym.es/recursos</t>
  </si>
  <si>
    <t>Configuración</t>
  </si>
  <si>
    <t>Tu centro, salas, monitores y actividades. Rellénalo una vez: todo lo demás sale de aquí.</t>
  </si>
  <si>
    <t>Tu centro</t>
  </si>
  <si>
    <t>Nº</t>
  </si>
  <si>
    <t>Sala</t>
  </si>
  <si>
    <t>Aforo (plazas)</t>
  </si>
  <si>
    <t>Clases por semana</t>
  </si>
  <si>
    <t>Nombre del centro</t>
  </si>
  <si>
    <t>Centro de ejemplo</t>
  </si>
  <si>
    <t>Box</t>
  </si>
  <si>
    <t>Título del horario</t>
  </si>
  <si>
    <t>Horario de clases · Temporada 2026-2027</t>
  </si>
  <si>
    <t>Estudio</t>
  </si>
  <si>
    <t>Nota al pie del horario</t>
  </si>
  <si>
    <t>Reserva tu plaza en recepción. Si no puedes venir, avisa para dejarla libre.</t>
  </si>
  <si>
    <t>Lunes de la semana 1 de asistencia</t>
  </si>
  <si>
    <t>Valor de una asistencia</t>
  </si>
  <si>
    <t>Cuota media al mes</t>
  </si>
  <si>
    <t>Asistencias de un socio al mes (media)</t>
  </si>
  <si>
    <t>Monitor</t>
  </si>
  <si>
    <t>Coste por hora</t>
  </si>
  <si>
    <t>Horas por semana</t>
  </si>
  <si>
    <t>Valor a mano (opcional)</t>
  </si>
  <si>
    <t>Marta</t>
  </si>
  <si>
    <t>Javi</t>
  </si>
  <si>
    <t>Lucía</t>
  </si>
  <si>
    <t>Umbrales de las recomendaciones</t>
  </si>
  <si>
    <t>Dani</t>
  </si>
  <si>
    <t>Ocupación baja: por debajo de</t>
  </si>
  <si>
    <t>Sara</t>
  </si>
  <si>
    <t>Ocupación buena: desde</t>
  </si>
  <si>
    <t>Clase llena: desde</t>
  </si>
  <si>
    <t>Aviso de caída: tendencia de</t>
  </si>
  <si>
    <t>Franja horaria</t>
  </si>
  <si>
    <t>Empieza a las</t>
  </si>
  <si>
    <t>Primera hora</t>
  </si>
  <si>
    <t>Mañana</t>
  </si>
  <si>
    <t>Color</t>
  </si>
  <si>
    <t>Actividad</t>
  </si>
  <si>
    <t>Duración (min)</t>
  </si>
  <si>
    <t>Mediodía</t>
  </si>
  <si>
    <t>Cross training</t>
  </si>
  <si>
    <t>Tarde</t>
  </si>
  <si>
    <t>HIIT</t>
  </si>
  <si>
    <t>Tarde-noche</t>
  </si>
  <si>
    <t>Pilates</t>
  </si>
  <si>
    <t>Noche</t>
  </si>
  <si>
    <t>Yoga</t>
  </si>
  <si>
    <t>Las horas, de menor a mayor.</t>
  </si>
  <si>
    <t>Ciclo indoor</t>
  </si>
  <si>
    <t>Movilidad</t>
  </si>
  <si>
    <t>Open box</t>
  </si>
  <si>
    <t>Halterofilia</t>
  </si>
  <si>
    <t>Core exprés</t>
  </si>
  <si>
    <t>Funcional sénior</t>
  </si>
  <si>
    <t>Clases</t>
  </si>
  <si>
    <t>Una fila por clase de la semana. Con esto se monta el horario y la hoja de asistencia. No ordenes ni borres filas: vacíalas.</t>
  </si>
  <si>
    <t>Filas en uso →</t>
  </si>
  <si>
    <t>ID</t>
  </si>
  <si>
    <t>Día</t>
  </si>
  <si>
    <t>Hora de inicio</t>
  </si>
  <si>
    <t>Plazas (opcional)</t>
  </si>
  <si>
    <t>Plazas</t>
  </si>
  <si>
    <t>Hora de fin</t>
  </si>
  <si>
    <t>Franja</t>
  </si>
  <si>
    <t>Coste del monitor</t>
  </si>
  <si>
    <t>Aviso</t>
  </si>
  <si>
    <t>díaNº</t>
  </si>
  <si>
    <t>minIni</t>
  </si>
  <si>
    <t>minFin</t>
  </si>
  <si>
    <t>salaNº</t>
  </si>
  <si>
    <t>clave</t>
  </si>
  <si>
    <t>claveDía</t>
  </si>
  <si>
    <t>color</t>
  </si>
  <si>
    <t>Lunes</t>
  </si>
  <si>
    <t>Martes</t>
  </si>
  <si>
    <t>Miércoles</t>
  </si>
  <si>
    <t>Jueves</t>
  </si>
  <si>
    <t>Viernes</t>
  </si>
  <si>
    <t>Sábado</t>
  </si>
  <si>
    <t>Domingo</t>
  </si>
  <si>
    <t>Hora</t>
  </si>
  <si>
    <t>Asistencia</t>
  </si>
  <si>
    <t>Cada semana, cuántas personas vinieron a cada clase. Vacío = no hubo clase (festivo, vacaciones); 0 = hubo clase y no vino nadie.</t>
  </si>
  <si>
    <t>Media</t>
  </si>
  <si>
    <t>% ocupación</t>
  </si>
  <si>
    <t>Lunes de cada semana →</t>
  </si>
  <si>
    <t>Total de asistentes</t>
  </si>
  <si>
    <t>Ocupación de la semana</t>
  </si>
  <si>
    <t>Ocupación</t>
  </si>
  <si>
    <t>Cada clase: cuánta gente viene, si sube o baja, cuánto deja frente a lo que cuesta el monitor y qué hacer con ella.</t>
  </si>
  <si>
    <t>Semanas apuntadas</t>
  </si>
  <si>
    <t>Media de asistentes</t>
  </si>
  <si>
    <t>Plazas vacías</t>
  </si>
  <si>
    <t>Primeras 4 semanas</t>
  </si>
  <si>
    <t>Últimas 4 semanas</t>
  </si>
  <si>
    <t>Tendencia</t>
  </si>
  <si>
    <t>Ingreso imputado</t>
  </si>
  <si>
    <t>Coste monitor</t>
  </si>
  <si>
    <t>Margen por clase</t>
  </si>
  <si>
    <t>Recomendación</t>
  </si>
  <si>
    <t>orden</t>
  </si>
  <si>
    <t>plazasDatos</t>
  </si>
  <si>
    <t>asistentes</t>
  </si>
  <si>
    <t>franja</t>
  </si>
  <si>
    <t>Resumen</t>
  </si>
  <si>
    <t>Qué días y franjas se llenan, y cómo va cada actividad, monitor y sala. Se calcula solo con «Clases» y «Asistencia».</t>
  </si>
  <si>
    <t>Ocupación por día y franja</t>
  </si>
  <si>
    <t>Asistentes ÷ plazas de las clases de cada casilla. Vacía = no hay clases ahí.</t>
  </si>
  <si>
    <t>Desde</t>
  </si>
  <si>
    <t>Toda la semana</t>
  </si>
  <si>
    <t>Todas las franjas</t>
  </si>
  <si>
    <t>Clases por semana en cada casilla</t>
  </si>
  <si>
    <t>Total</t>
  </si>
  <si>
    <t>Por actividad, cada semana</t>
  </si>
  <si>
    <t>Asistentes (media)</t>
  </si>
  <si>
    <t>Coste monitores</t>
  </si>
  <si>
    <t>Margen</t>
  </si>
  <si>
    <t>Por monitor, cada semana</t>
  </si>
  <si>
    <t>Horas</t>
  </si>
  <si>
    <t>Coste</t>
  </si>
  <si>
    <t>Por sala, cada semana</t>
  </si>
  <si>
    <t>Aforo</t>
  </si>
  <si>
    <t>Horas de clase</t>
  </si>
  <si>
    <t>Panel</t>
  </si>
  <si>
    <t>Ocupación media</t>
  </si>
  <si>
    <t>Plazas vacías por semana</t>
  </si>
  <si>
    <t>Margen semanal estimado</t>
  </si>
  <si>
    <t>Las 5 clases más llenas</t>
  </si>
  <si>
    <t>Las 5 clases con más plazas libres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</si>
  <si>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</si>
  <si>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</si>
  <si>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</si>
  <si>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</si>
  <si>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</si>
  <si>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</si>
  <si>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</si>
  <si>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</si>
  <si>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</si>
  <si>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</si>
  <si>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</si>
  <si>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</si>
  <si>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Ocupación = asistentes ÷ plazas de las clases con asistencia apuntada. Las barras por actividad llevan el color de cada actividad.</t>
  </si>
  <si>
    <t>Cuando la hoja se queda corta</t>
  </si>
  <si>
    <t>Esta plantilla te sirve mientras el horario y la asistencia caben en una tarde a la semana. Cuando crecen las clases, las salas o la gente que reserva, apuntarlo todo a mano empieza a costar.</t>
  </si>
  <si>
    <t>Un software de gestión como GymGym reúne socios, cobros, reservas, accesos y comunicación en un mismo sitio.</t>
  </si>
  <si>
    <t>Si te apetece verlo con calma: gymgym.es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</si>
</sst>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5" formatCode="dd/mm/yyyy"/>
    <numFmt numFmtId="166" formatCode="#,##0.00\ &quot;€&quot;"/>
    <numFmt numFmtId="167" formatCode="0.0"/>
    <numFmt numFmtId="168" formatCode="hh:mm"/>
    <numFmt numFmtId="169" formatCode="00"/>
    <numFmt numFmtId="170" formatCode="&quot;Semana &quot;0"/>
    <numFmt numFmtId="171" formatCode="0.0%"/>
    <numFmt numFmtId="172" formatCode="&quot;▲ &quot;0%;&quot;▼ &quot;0%;&quot;= &quot;0%"/>
    <numFmt numFmtId="173" formatCode="0;\-0;;@"/>
    <numFmt numFmtId="174" formatCode="#,##0\ &quot;€&quot;"/>
    <numFmt numFmtId="175" formatCode="0%;\-0%;;"/>
  </numFmts>
  <fonts count="48" x14ac:knownFonts="1">
    <font>
      <sz val="11"/>
      <color theme="1"/>
      <name val="Calibri"/>
      <family val="2"/>
      <scheme val="minor"/>
    </font>
    <font>
      <b/>
      <sz val="18"/>
      <color rgb="FF0B1220"/>
      <name val="Arial"/>
      <family val="2"/>
    </font>
    <font>
      <sz val="10"/>
      <color rgb="FF4B586B"/>
      <name val="Arial"/>
      <family val="2"/>
    </font>
    <font>
      <b/>
      <sz val="9.5"/>
      <color rgb="FFFFFFFF"/>
      <name val="Arial"/>
      <family val="2"/>
    </font>
    <font>
      <sz val="10"/>
      <color rgb="FF0B1220"/>
      <name val="Arial"/>
      <family val="2"/>
    </font>
    <font>
      <b/>
      <sz val="10"/>
      <color rgb="FF0B1220"/>
      <name val="Arial"/>
      <family val="2"/>
    </font>
    <font>
      <b/>
      <sz val="12"/>
      <color rgb="FF076B69"/>
      <name val="Arial"/>
      <family val="2"/>
    </font>
    <font>
      <i/>
      <sz val="8.5"/>
      <color rgb="FF5C697D"/>
      <name val="Arial"/>
      <family val="2"/>
    </font>
    <font>
      <sz val="9"/>
      <color rgb="FF5C697D"/>
      <name val="Arial"/>
      <family val="2"/>
    </font>
    <font>
      <b/>
      <sz val="9"/>
      <color rgb="FF0B1220"/>
      <name val="Arial"/>
      <family val="2"/>
    </font>
    <font>
      <b/>
      <sz val="9"/>
      <color rgb="FFFFFFFF"/>
      <name val="Arial"/>
      <family val="2"/>
    </font>
    <font>
      <b/>
      <sz val="9"/>
      <color rgb="FF3A2EB0"/>
      <name val="Arial"/>
      <family val="2"/>
    </font>
    <font>
      <b/>
      <sz val="9"/>
      <color rgb="FF0F6B47"/>
      <name val="Arial"/>
      <family val="2"/>
    </font>
    <font>
      <b/>
      <sz val="9"/>
      <color rgb="FF7A4804"/>
      <name val="Arial"/>
      <family val="2"/>
    </font>
    <font>
      <b/>
      <sz val="9"/>
      <color rgb="FF2C59BE"/>
      <name val="Arial"/>
      <family val="2"/>
    </font>
    <font>
      <b/>
      <sz val="9"/>
      <color rgb="FF9E1E3B"/>
      <name val="Arial"/>
      <family val="2"/>
    </font>
    <font>
      <b/>
      <sz val="9"/>
      <color rgb="FF076B69"/>
      <name val="Arial"/>
      <family val="2"/>
    </font>
    <font>
      <sz val="8"/>
      <color rgb="FF5C697D"/>
      <name val="Arial"/>
      <family val="2"/>
    </font>
    <font>
      <b/>
      <sz val="9"/>
      <color rgb="FFC9284A"/>
      <name val="Arial"/>
      <family val="2"/>
    </font>
    <font>
      <b/>
      <sz val="22"/>
      <color rgb="FF0B1220"/>
      <name val="Arial"/>
      <family val="2"/>
    </font>
    <font>
      <b/>
      <sz val="8.5"/>
      <color rgb="FFC9284A"/>
      <name val="Arial"/>
      <family val="2"/>
    </font>
    <font>
      <b/>
      <sz val="10.5"/>
      <color rgb="FFFFFFFF"/>
      <name val="Arial"/>
      <family val="2"/>
    </font>
    <font>
      <b/>
      <sz val="12"/>
      <color rgb="FF0B1220"/>
      <name val="Arial"/>
      <family val="2"/>
    </font>
    <font>
      <sz val="8.5"/>
      <color rgb="FF4B586B"/>
      <name val="Arial"/>
      <family val="2"/>
    </font>
    <font>
      <sz val="8.5"/>
      <color rgb="FFFFFFFF"/>
      <name val="Arial"/>
      <family val="2"/>
    </font>
    <font>
      <b/>
      <sz val="9.5"/>
      <color rgb="FF0B1220"/>
      <name val="Arial"/>
      <family val="2"/>
    </font>
    <font>
      <b/>
      <sz val="9.5"/>
      <color rgb="FF076B69"/>
      <name val="Arial"/>
      <family val="2"/>
    </font>
    <font>
      <sz val="8.5"/>
      <color rgb="FFC9D2DE"/>
      <name val="Arial"/>
      <family val="2"/>
    </font>
    <font>
      <b/>
      <sz val="8.5"/>
      <color rgb="FF9A5B05"/>
      <name val="Arial"/>
      <family val="2"/>
    </font>
    <font>
      <b/>
      <sz val="8.5"/>
      <color rgb="FF0F6B47"/>
      <name val="Arial"/>
      <family val="2"/>
    </font>
    <font>
      <b/>
      <sz val="8.5"/>
      <color rgb="FF0B1220"/>
      <name val="Arial"/>
      <family val="2"/>
    </font>
    <font>
      <sz val="8.5"/>
      <color rgb="FF5C697D"/>
      <name val="Arial"/>
      <family val="2"/>
    </font>
    <font>
      <b/>
      <sz val="11"/>
      <color rgb="FF0B1220"/>
      <name val="Arial"/>
      <family val="2"/>
    </font>
    <font>
      <sz val="9.5"/>
      <color rgb="FF4B586B"/>
      <name val="Arial"/>
      <family val="2"/>
    </font>
    <font>
      <b/>
      <sz val="8.5"/>
      <color rgb="FFFFFFFF"/>
      <name val="Arial"/>
      <family val="2"/>
    </font>
    <font>
      <b/>
      <sz val="8.5"/>
      <color rgb="FF3A2EB0"/>
      <name val="Arial"/>
      <family val="2"/>
    </font>
    <font>
      <b/>
      <sz val="8.5"/>
      <color rgb="FF7A4804"/>
      <name val="Arial"/>
      <family val="2"/>
    </font>
    <font>
      <b/>
      <sz val="8.5"/>
      <color rgb="FF2C59BE"/>
      <name val="Arial"/>
      <family val="2"/>
    </font>
    <font>
      <b/>
      <sz val="8.5"/>
      <color rgb="FF9E1E3B"/>
      <name val="Arial"/>
      <family val="2"/>
    </font>
    <font>
      <b/>
      <sz val="8.5"/>
      <color rgb="FF076B69"/>
      <name val="Arial"/>
      <family val="2"/>
    </font>
    <font>
      <b/>
      <sz val="9.5"/>
      <color rgb="FF4B586B"/>
      <name val="Arial"/>
      <family val="2"/>
    </font>
    <font>
      <b/>
      <sz val="24"/>
      <color rgb="FF0B1220"/>
      <name val="Arial"/>
      <family val="2"/>
    </font>
    <font>
      <sz val="11"/>
      <color rgb="FF4B586B"/>
      <name val="Arial"/>
      <family val="2"/>
    </font>
    <font>
      <b/>
      <sz val="13"/>
      <color rgb="FF0B1220"/>
      <name val="Arial"/>
      <family val="2"/>
    </font>
    <font>
      <b/>
      <sz val="13"/>
      <color rgb="FF1DD6C1"/>
      <name val="Arial"/>
      <family val="2"/>
    </font>
    <font>
      <sz val="10"/>
      <color rgb="FFC9284A"/>
      <name val="Arial"/>
      <family val="2"/>
    </font>
    <font>
      <b/>
      <sz val="10.5"/>
      <color rgb="FF076B69"/>
      <name val="Arial"/>
      <family val="2"/>
    </font>
    <font>
      <b/>
      <sz val="11"/>
      <color rgb="FF076B69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1DD6C1"/>
        <bgColor rgb="FF1DD6C1"/>
      </patternFill>
    </fill>
    <fill>
      <patternFill patternType="solid">
        <fgColor rgb="FF0A0E15"/>
        <bgColor rgb="FF0A0E15"/>
      </patternFill>
    </fill>
    <fill>
      <patternFill patternType="solid">
        <fgColor rgb="FFE4FAF6"/>
        <bgColor rgb="FFE4FAF6"/>
      </patternFill>
    </fill>
    <fill>
      <patternFill patternType="solid">
        <fgColor rgb="FFC9284A"/>
        <bgColor rgb="FFC9284A"/>
      </patternFill>
    </fill>
    <fill>
      <patternFill patternType="solid">
        <fgColor rgb="FFCFCBFA"/>
        <bgColor rgb="FFCFCBFA"/>
      </patternFill>
    </fill>
    <fill>
      <patternFill patternType="solid">
        <fgColor rgb="FFB8EBCF"/>
        <bgColor rgb="FFB8EBCF"/>
      </patternFill>
    </fill>
    <fill>
      <patternFill patternType="solid">
        <fgColor rgb="FF4F82EC"/>
        <bgColor rgb="FF4F82EC"/>
      </patternFill>
    </fill>
    <fill>
      <patternFill patternType="solid">
        <fgColor rgb="FFFFDFA3"/>
        <bgColor rgb="FFFFDFA3"/>
      </patternFill>
    </fill>
    <fill>
      <patternFill patternType="solid">
        <fgColor rgb="FF0B1220"/>
        <bgColor rgb="FF0B1220"/>
      </patternFill>
    </fill>
    <fill>
      <patternFill patternType="solid">
        <fgColor rgb="FF4A3CCF"/>
        <bgColor rgb="FF4A3CCF"/>
      </patternFill>
    </fill>
    <fill>
      <patternFill patternType="solid">
        <fgColor rgb="FFC8D9FA"/>
        <bgColor rgb="FFC8D9FA"/>
      </patternFill>
    </fill>
    <fill>
      <patternFill patternType="solid">
        <fgColor rgb="FFFFC7D2"/>
        <bgColor rgb="FFFFC7D2"/>
      </patternFill>
    </fill>
    <fill>
      <patternFill patternType="solid">
        <fgColor rgb="FF0F6B47"/>
        <bgColor rgb="FF0F6B47"/>
      </patternFill>
    </fill>
    <fill>
      <patternFill patternType="solid">
        <fgColor rgb="FFB5F2EA"/>
        <bgColor rgb="FFB5F2EA"/>
      </patternFill>
    </fill>
    <fill>
      <patternFill patternType="solid">
        <fgColor rgb="FFF6F8FB"/>
        <bgColor rgb="FFF6F8FB"/>
      </patternFill>
    </fill>
    <fill>
      <patternFill patternType="solid">
        <fgColor rgb="FF1B2433"/>
        <bgColor rgb="FF1B2433"/>
      </patternFill>
    </fill>
    <fill>
      <patternFill patternType="solid">
        <fgColor rgb="FFFFE8ED"/>
        <bgColor rgb="FFFFE8ED"/>
      </patternFill>
    </fill>
    <fill>
      <patternFill patternType="solid">
        <fgColor rgb="FFFFF1D8"/>
        <bgColor rgb="FFFFF1D8"/>
      </patternFill>
    </fill>
    <fill>
      <patternFill patternType="solid">
        <fgColor rgb="FFE2F7EC"/>
        <bgColor rgb="FFE2F7E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E3E9F0"/>
      </bottom>
      <diagonal/>
    </border>
    <border>
      <left style="thin">
        <color rgb="FFE3E9F0"/>
      </left>
      <right style="thin">
        <color rgb="FFE3E9F0"/>
      </right>
      <top style="thin">
        <color rgb="FFE3E9F0"/>
      </top>
      <bottom style="thin">
        <color rgb="FFE3E9F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2A3342"/>
      </left>
      <right style="thin">
        <color rgb="FF2A3342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0A0E15"/>
      </top>
      <bottom/>
      <diagonal/>
    </border>
    <border>
      <left style="medium">
        <color rgb="FFFFFFFF"/>
      </left>
      <right style="medium">
        <color rgb="FFFFFFFF"/>
      </right>
      <top style="medium">
        <color rgb="FF0A0E15"/>
      </top>
      <bottom/>
      <diagonal/>
    </border>
    <border>
      <left/>
      <right/>
      <top style="medium">
        <color rgb="FF0A0E15"/>
      </top>
      <bottom style="thin">
        <color rgb="FFE3E9F0"/>
      </bottom>
      <diagonal/>
    </border>
    <border>
      <left/>
      <right/>
      <top/>
      <bottom/>
      <diagonal/>
    </border>
    <border>
      <left style="medium">
        <color rgb="FFFFFFFF"/>
      </left>
      <right/>
      <top style="thick">
        <color rgb="FF1DD6C1"/>
      </top>
      <bottom/>
      <diagonal/>
    </border>
    <border>
      <left/>
      <right/>
      <top style="thick">
        <color rgb="FF1DD6C1"/>
      </top>
      <bottom/>
      <diagonal/>
    </border>
    <border>
      <left/>
      <right style="medium">
        <color rgb="FFFFFFFF"/>
      </right>
      <top style="thick">
        <color rgb="FF1DD6C1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42" fillId="0" borderId="0" xfId="0" applyFont="1" applyAlignment="1">
      <alignment horizontal="left" vertical="top" wrapText="1"/>
    </xf>
    <xf numFmtId="0" fontId="0" fillId="2" borderId="0" xfId="0" applyFill="1"/>
    <xf numFmtId="0" fontId="44" fillId="3" borderId="0" xfId="0" applyFont="1" applyFill="1" applyAlignment="1">
      <alignment horizontal="center" vertical="center"/>
    </xf>
    <xf numFmtId="0" fontId="0" fillId="16" borderId="0" xfId="0" applyFill="1"/>
    <xf numFmtId="0" fontId="4" fillId="4" borderId="2" xfId="0" applyFont="1" applyFill="1" applyBorder="1"/>
    <xf numFmtId="0" fontId="4" fillId="21" borderId="2" xfId="0" applyFont="1" applyFill="1" applyBorder="1"/>
    <xf numFmtId="0" fontId="4" fillId="18" borderId="2" xfId="0" applyFont="1" applyFill="1" applyBorder="1"/>
    <xf numFmtId="0" fontId="4" fillId="2" borderId="2" xfId="0" applyFont="1" applyFill="1" applyBorder="1"/>
    <xf numFmtId="0" fontId="4" fillId="20" borderId="2" xfId="0" applyFont="1" applyFill="1" applyBorder="1"/>
    <xf numFmtId="0" fontId="9" fillId="2" borderId="7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4" fillId="12" borderId="7" xfId="0" applyFont="1" applyFill="1" applyBorder="1" applyAlignment="1">
      <alignment horizontal="center" vertical="center"/>
    </xf>
    <xf numFmtId="0" fontId="15" fillId="13" borderId="7" xfId="0" applyFont="1" applyFill="1" applyBorder="1" applyAlignment="1">
      <alignment horizontal="center" vertical="center"/>
    </xf>
    <xf numFmtId="0" fontId="10" fillId="14" borderId="7" xfId="0" applyFont="1" applyFill="1" applyBorder="1" applyAlignment="1">
      <alignment horizontal="center" vertical="center"/>
    </xf>
    <xf numFmtId="0" fontId="16" fillId="15" borderId="7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top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left" vertical="center" wrapText="1"/>
    </xf>
    <xf numFmtId="166" fontId="4" fillId="4" borderId="2" xfId="0" applyNumberFormat="1" applyFont="1" applyFill="1" applyBorder="1" applyAlignment="1">
      <alignment horizontal="left" vertical="center" wrapText="1"/>
    </xf>
    <xf numFmtId="167" fontId="4" fillId="4" borderId="2" xfId="0" applyNumberFormat="1" applyFont="1" applyFill="1" applyBorder="1" applyAlignment="1">
      <alignment horizontal="left" vertical="center" wrapText="1"/>
    </xf>
    <xf numFmtId="166" fontId="4" fillId="4" borderId="2" xfId="0" applyNumberFormat="1" applyFont="1" applyFill="1" applyBorder="1" applyAlignment="1">
      <alignment horizontal="center" vertical="center"/>
    </xf>
    <xf numFmtId="167" fontId="4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6" fontId="6" fillId="0" borderId="2" xfId="0" applyNumberFormat="1" applyFont="1" applyBorder="1" applyAlignment="1">
      <alignment horizontal="left" vertical="center" wrapText="1"/>
    </xf>
    <xf numFmtId="9" fontId="4" fillId="4" borderId="2" xfId="0" applyNumberFormat="1" applyFont="1" applyFill="1" applyBorder="1" applyAlignment="1">
      <alignment horizontal="left" vertical="center" wrapText="1"/>
    </xf>
    <xf numFmtId="168" fontId="4" fillId="4" borderId="2" xfId="0" applyNumberFormat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7" fillId="0" borderId="0" xfId="0" applyFont="1"/>
    <xf numFmtId="0" fontId="10" fillId="8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/>
    </xf>
    <xf numFmtId="0" fontId="15" fillId="13" borderId="3" xfId="0" applyFont="1" applyFill="1" applyBorder="1" applyAlignment="1">
      <alignment horizontal="center" vertical="center"/>
    </xf>
    <xf numFmtId="0" fontId="10" fillId="14" borderId="3" xfId="0" applyFont="1" applyFill="1" applyBorder="1" applyAlignment="1">
      <alignment horizontal="center" vertical="center"/>
    </xf>
    <xf numFmtId="0" fontId="16" fillId="15" borderId="3" xfId="0" applyFont="1" applyFill="1" applyBorder="1" applyAlignment="1">
      <alignment horizontal="center" vertical="center"/>
    </xf>
    <xf numFmtId="0" fontId="17" fillId="0" borderId="0" xfId="0" applyFont="1"/>
    <xf numFmtId="0" fontId="3" fillId="3" borderId="4" xfId="0" applyFont="1" applyFill="1" applyBorder="1" applyAlignment="1">
      <alignment horizontal="center" vertical="center" wrapText="1"/>
    </xf>
    <xf numFmtId="169" fontId="8" fillId="0" borderId="2" xfId="0" applyNumberFormat="1" applyFont="1" applyBorder="1" applyAlignment="1">
      <alignment horizontal="center" vertical="center"/>
    </xf>
    <xf numFmtId="168" fontId="4" fillId="4" borderId="2" xfId="0" applyNumberFormat="1" applyFont="1" applyFill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6" fontId="4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21" fillId="3" borderId="4" xfId="0" applyFont="1" applyFill="1" applyBorder="1" applyAlignment="1">
      <alignment horizontal="center" vertical="center" wrapText="1"/>
    </xf>
    <xf numFmtId="168" fontId="22" fillId="0" borderId="0" xfId="0" applyNumberFormat="1" applyFont="1" applyAlignment="1">
      <alignment horizontal="center"/>
    </xf>
    <xf numFmtId="0" fontId="5" fillId="16" borderId="5" xfId="0" applyFont="1" applyFill="1" applyBorder="1" applyAlignment="1">
      <alignment horizontal="center"/>
    </xf>
    <xf numFmtId="0" fontId="17" fillId="0" borderId="0" xfId="0" applyFont="1" applyAlignment="1">
      <alignment horizontal="center" vertical="top"/>
    </xf>
    <xf numFmtId="0" fontId="23" fillId="16" borderId="6" xfId="0" applyFont="1" applyFill="1" applyBorder="1" applyAlignment="1">
      <alignment horizontal="center" vertical="top"/>
    </xf>
    <xf numFmtId="9" fontId="17" fillId="0" borderId="0" xfId="0" applyNumberFormat="1" applyFont="1"/>
    <xf numFmtId="170" fontId="3" fillId="3" borderId="4" xfId="0" applyNumberFormat="1" applyFont="1" applyFill="1" applyBorder="1" applyAlignment="1">
      <alignment horizontal="center" vertical="center" wrapText="1"/>
    </xf>
    <xf numFmtId="0" fontId="4" fillId="17" borderId="0" xfId="0" applyFont="1" applyFill="1"/>
    <xf numFmtId="0" fontId="27" fillId="17" borderId="0" xfId="0" applyFont="1" applyFill="1" applyAlignment="1">
      <alignment horizontal="left" vertical="center"/>
    </xf>
    <xf numFmtId="165" fontId="24" fillId="17" borderId="0" xfId="0" applyNumberFormat="1" applyFont="1" applyFill="1" applyAlignment="1">
      <alignment horizontal="center" vertical="center"/>
    </xf>
    <xf numFmtId="0" fontId="25" fillId="16" borderId="2" xfId="0" applyFont="1" applyFill="1" applyBorder="1" applyAlignment="1">
      <alignment horizontal="center" vertical="center"/>
    </xf>
    <xf numFmtId="1" fontId="25" fillId="16" borderId="2" xfId="0" applyNumberFormat="1" applyFont="1" applyFill="1" applyBorder="1" applyAlignment="1">
      <alignment horizontal="center" vertical="center"/>
    </xf>
    <xf numFmtId="0" fontId="4" fillId="16" borderId="2" xfId="0" applyFont="1" applyFill="1" applyBorder="1"/>
    <xf numFmtId="9" fontId="26" fillId="16" borderId="2" xfId="0" applyNumberFormat="1" applyFont="1" applyFill="1" applyBorder="1" applyAlignment="1">
      <alignment horizontal="center" vertical="center"/>
    </xf>
    <xf numFmtId="167" fontId="5" fillId="0" borderId="2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71" fontId="4" fillId="0" borderId="2" xfId="0" applyNumberFormat="1" applyFont="1" applyBorder="1" applyAlignment="1">
      <alignment horizontal="center" vertical="center"/>
    </xf>
    <xf numFmtId="172" fontId="4" fillId="0" borderId="2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169" fontId="8" fillId="16" borderId="2" xfId="0" applyNumberFormat="1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left" vertical="center"/>
    </xf>
    <xf numFmtId="168" fontId="4" fillId="16" borderId="2" xfId="0" applyNumberFormat="1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167" fontId="4" fillId="16" borderId="2" xfId="0" applyNumberFormat="1" applyFont="1" applyFill="1" applyBorder="1" applyAlignment="1">
      <alignment horizontal="center" vertical="center"/>
    </xf>
    <xf numFmtId="171" fontId="4" fillId="16" borderId="2" xfId="0" applyNumberFormat="1" applyFont="1" applyFill="1" applyBorder="1" applyAlignment="1">
      <alignment horizontal="center" vertical="center"/>
    </xf>
    <xf numFmtId="172" fontId="4" fillId="16" borderId="2" xfId="0" applyNumberFormat="1" applyFont="1" applyFill="1" applyBorder="1" applyAlignment="1">
      <alignment horizontal="center" vertical="center"/>
    </xf>
    <xf numFmtId="166" fontId="4" fillId="16" borderId="2" xfId="0" applyNumberFormat="1" applyFont="1" applyFill="1" applyBorder="1" applyAlignment="1">
      <alignment horizontal="center" vertical="center"/>
    </xf>
    <xf numFmtId="166" fontId="5" fillId="16" borderId="2" xfId="0" applyNumberFormat="1" applyFont="1" applyFill="1" applyBorder="1" applyAlignment="1">
      <alignment horizontal="center" vertical="center"/>
    </xf>
    <xf numFmtId="0" fontId="22" fillId="0" borderId="0" xfId="0" applyFont="1"/>
    <xf numFmtId="0" fontId="31" fillId="0" borderId="0" xfId="0" applyFont="1"/>
    <xf numFmtId="0" fontId="5" fillId="0" borderId="2" xfId="0" applyFont="1" applyBorder="1" applyAlignment="1">
      <alignment horizontal="left" vertical="center"/>
    </xf>
    <xf numFmtId="168" fontId="8" fillId="0" borderId="2" xfId="0" applyNumberFormat="1" applyFont="1" applyBorder="1" applyAlignment="1">
      <alignment horizontal="center" vertical="center"/>
    </xf>
    <xf numFmtId="9" fontId="5" fillId="16" borderId="8" xfId="0" applyNumberFormat="1" applyFont="1" applyFill="1" applyBorder="1" applyAlignment="1">
      <alignment horizontal="center" vertical="center"/>
    </xf>
    <xf numFmtId="9" fontId="5" fillId="16" borderId="9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4" fillId="0" borderId="10" xfId="0" applyFont="1" applyBorder="1"/>
    <xf numFmtId="9" fontId="5" fillId="16" borderId="11" xfId="0" applyNumberFormat="1" applyFont="1" applyFill="1" applyBorder="1" applyAlignment="1">
      <alignment horizontal="center" vertical="center"/>
    </xf>
    <xf numFmtId="9" fontId="32" fillId="16" borderId="10" xfId="0" applyNumberFormat="1" applyFont="1" applyFill="1" applyBorder="1" applyAlignment="1">
      <alignment horizontal="center" vertical="center"/>
    </xf>
    <xf numFmtId="0" fontId="33" fillId="0" borderId="2" xfId="0" applyFont="1" applyBorder="1" applyAlignment="1">
      <alignment horizontal="left" vertical="center"/>
    </xf>
    <xf numFmtId="0" fontId="4" fillId="0" borderId="2" xfId="0" applyFont="1" applyBorder="1"/>
    <xf numFmtId="173" fontId="33" fillId="0" borderId="2" xfId="0" applyNumberFormat="1" applyFont="1" applyBorder="1" applyAlignment="1">
      <alignment horizontal="center" vertical="center"/>
    </xf>
    <xf numFmtId="173" fontId="25" fillId="0" borderId="2" xfId="0" applyNumberFormat="1" applyFont="1" applyBorder="1" applyAlignment="1">
      <alignment horizontal="center" vertical="center"/>
    </xf>
    <xf numFmtId="0" fontId="25" fillId="0" borderId="10" xfId="0" applyFont="1" applyBorder="1" applyAlignment="1">
      <alignment horizontal="left" vertical="center"/>
    </xf>
    <xf numFmtId="173" fontId="25" fillId="0" borderId="10" xfId="0" applyNumberFormat="1" applyFont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74" fontId="4" fillId="0" borderId="2" xfId="0" applyNumberFormat="1" applyFont="1" applyBorder="1" applyAlignment="1">
      <alignment horizontal="center" vertical="center"/>
    </xf>
    <xf numFmtId="0" fontId="34" fillId="5" borderId="3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left" vertical="center"/>
    </xf>
    <xf numFmtId="1" fontId="4" fillId="16" borderId="2" xfId="0" applyNumberFormat="1" applyFont="1" applyFill="1" applyBorder="1" applyAlignment="1">
      <alignment horizontal="center" vertical="center"/>
    </xf>
    <xf numFmtId="174" fontId="4" fillId="16" borderId="2" xfId="0" applyNumberFormat="1" applyFont="1" applyFill="1" applyBorder="1" applyAlignment="1">
      <alignment horizontal="center" vertical="center"/>
    </xf>
    <xf numFmtId="0" fontId="35" fillId="6" borderId="3" xfId="0" applyFont="1" applyFill="1" applyBorder="1" applyAlignment="1">
      <alignment horizontal="center" vertical="center"/>
    </xf>
    <xf numFmtId="0" fontId="29" fillId="7" borderId="3" xfId="0" applyFont="1" applyFill="1" applyBorder="1" applyAlignment="1">
      <alignment horizontal="center" vertical="center"/>
    </xf>
    <xf numFmtId="0" fontId="34" fillId="8" borderId="3" xfId="0" applyFont="1" applyFill="1" applyBorder="1" applyAlignment="1">
      <alignment horizontal="center" vertical="center"/>
    </xf>
    <xf numFmtId="0" fontId="36" fillId="9" borderId="3" xfId="0" applyFont="1" applyFill="1" applyBorder="1" applyAlignment="1">
      <alignment horizontal="center" vertical="center"/>
    </xf>
    <xf numFmtId="0" fontId="34" fillId="10" borderId="3" xfId="0" applyFont="1" applyFill="1" applyBorder="1" applyAlignment="1">
      <alignment horizontal="center" vertical="center"/>
    </xf>
    <xf numFmtId="0" fontId="34" fillId="11" borderId="3" xfId="0" applyFont="1" applyFill="1" applyBorder="1" applyAlignment="1">
      <alignment horizontal="center" vertical="center"/>
    </xf>
    <xf numFmtId="0" fontId="37" fillId="12" borderId="3" xfId="0" applyFont="1" applyFill="1" applyBorder="1" applyAlignment="1">
      <alignment horizontal="center" vertical="center"/>
    </xf>
    <xf numFmtId="0" fontId="38" fillId="13" borderId="3" xfId="0" applyFont="1" applyFill="1" applyBorder="1" applyAlignment="1">
      <alignment horizontal="center" vertical="center"/>
    </xf>
    <xf numFmtId="0" fontId="34" fillId="14" borderId="3" xfId="0" applyFont="1" applyFill="1" applyBorder="1" applyAlignment="1">
      <alignment horizontal="center" vertical="center"/>
    </xf>
    <xf numFmtId="0" fontId="39" fillId="15" borderId="3" xfId="0" applyFont="1" applyFill="1" applyBorder="1" applyAlignment="1">
      <alignment horizontal="center" vertical="center"/>
    </xf>
    <xf numFmtId="0" fontId="0" fillId="0" borderId="13" xfId="0" applyBorder="1"/>
    <xf numFmtId="0" fontId="5" fillId="0" borderId="12" xfId="0" applyFont="1" applyBorder="1" applyAlignment="1">
      <alignment horizontal="left" vertical="center"/>
    </xf>
    <xf numFmtId="1" fontId="5" fillId="0" borderId="12" xfId="0" applyNumberFormat="1" applyFont="1" applyBorder="1" applyAlignment="1">
      <alignment horizontal="center" vertical="center"/>
    </xf>
    <xf numFmtId="167" fontId="5" fillId="0" borderId="12" xfId="0" applyNumberFormat="1" applyFont="1" applyBorder="1" applyAlignment="1">
      <alignment horizontal="center" vertical="center"/>
    </xf>
    <xf numFmtId="171" fontId="5" fillId="0" borderId="12" xfId="0" applyNumberFormat="1" applyFont="1" applyBorder="1" applyAlignment="1">
      <alignment horizontal="center" vertical="center"/>
    </xf>
    <xf numFmtId="174" fontId="5" fillId="0" borderId="12" xfId="0" applyNumberFormat="1" applyFont="1" applyBorder="1" applyAlignment="1">
      <alignment horizontal="center" vertical="center"/>
    </xf>
    <xf numFmtId="0" fontId="0" fillId="0" borderId="12" xfId="0" applyBorder="1"/>
    <xf numFmtId="0" fontId="2" fillId="0" borderId="0" xfId="0" applyFont="1"/>
    <xf numFmtId="0" fontId="10" fillId="3" borderId="0" xfId="0" applyFont="1" applyFill="1" applyAlignment="1">
      <alignment horizontal="left" vertical="center" indent="1"/>
    </xf>
    <xf numFmtId="0" fontId="10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168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71" fontId="4" fillId="0" borderId="1" xfId="0" applyNumberFormat="1" applyFont="1" applyBorder="1" applyAlignment="1">
      <alignment horizontal="center" vertical="center"/>
    </xf>
    <xf numFmtId="175" fontId="0" fillId="0" borderId="0" xfId="0" applyNumberFormat="1"/>
    <xf numFmtId="0" fontId="47" fillId="0" borderId="0" xfId="0" applyFont="1" applyAlignment="1">
      <alignment horizontal="left" vertical="top" wrapText="1"/>
    </xf>
    <xf numFmtId="0" fontId="32" fillId="0" borderId="0" xfId="0" applyFont="1" applyAlignment="1">
      <alignment vertical="center" indent="1"/>
    </xf>
    <xf numFmtId="0" fontId="0" fillId="0" borderId="0" xfId="0"/>
    <xf numFmtId="0" fontId="2" fillId="0" borderId="0" xfId="0" applyFont="1" applyAlignment="1">
      <alignment horizontal="left" vertical="top" wrapText="1"/>
    </xf>
    <xf numFmtId="0" fontId="43" fillId="0" borderId="0" xfId="0" applyFont="1"/>
    <xf numFmtId="0" fontId="2" fillId="0" borderId="0" xfId="0" applyFont="1" applyAlignment="1">
      <alignment horizontal="left" vertical="center" wrapText="1" indent="1"/>
    </xf>
    <xf numFmtId="0" fontId="42" fillId="0" borderId="0" xfId="0" applyFont="1" applyAlignment="1">
      <alignment horizontal="left" vertical="top" wrapText="1"/>
    </xf>
    <xf numFmtId="0" fontId="41" fillId="0" borderId="0" xfId="0" applyFont="1"/>
    <xf numFmtId="0" fontId="2" fillId="0" borderId="0" xfId="0" applyFont="1" applyAlignment="1">
      <alignment horizontal="left" vertical="top" wrapText="1" indent="1"/>
    </xf>
    <xf numFmtId="0" fontId="2" fillId="16" borderId="0" xfId="0" applyFont="1" applyFill="1" applyAlignment="1">
      <alignment horizontal="left" vertical="center" wrapText="1" indent="1"/>
    </xf>
    <xf numFmtId="0" fontId="0" fillId="16" borderId="0" xfId="0" applyFill="1"/>
    <xf numFmtId="0" fontId="2" fillId="0" borderId="0" xfId="0" applyFont="1" applyAlignment="1">
      <alignment horizontal="left" vertical="center" indent="1"/>
    </xf>
    <xf numFmtId="0" fontId="46" fillId="0" borderId="0" xfId="0" applyFont="1" applyAlignment="1">
      <alignment vertical="center"/>
    </xf>
    <xf numFmtId="0" fontId="45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Alignment="1">
      <alignment horizontal="right" wrapText="1"/>
    </xf>
    <xf numFmtId="0" fontId="19" fillId="0" borderId="0" xfId="0" applyFont="1"/>
    <xf numFmtId="0" fontId="25" fillId="16" borderId="0" xfId="0" applyFont="1" applyFill="1" applyAlignment="1">
      <alignment horizontal="right" vertical="center"/>
    </xf>
    <xf numFmtId="0" fontId="20" fillId="18" borderId="7" xfId="0" applyFont="1" applyFill="1" applyBorder="1" applyAlignment="1">
      <alignment horizontal="center" vertical="center"/>
    </xf>
    <xf numFmtId="0" fontId="0" fillId="18" borderId="7" xfId="0" applyFill="1" applyBorder="1"/>
    <xf numFmtId="0" fontId="28" fillId="19" borderId="7" xfId="0" applyFont="1" applyFill="1" applyBorder="1" applyAlignment="1">
      <alignment horizontal="center" vertical="center"/>
    </xf>
    <xf numFmtId="0" fontId="0" fillId="19" borderId="7" xfId="0" applyFill="1" applyBorder="1"/>
    <xf numFmtId="0" fontId="29" fillId="20" borderId="7" xfId="0" applyFont="1" applyFill="1" applyBorder="1" applyAlignment="1">
      <alignment horizontal="center" vertical="center"/>
    </xf>
    <xf numFmtId="0" fontId="0" fillId="20" borderId="7" xfId="0" applyFill="1" applyBorder="1"/>
    <xf numFmtId="0" fontId="30" fillId="2" borderId="7" xfId="0" applyFont="1" applyFill="1" applyBorder="1" applyAlignment="1">
      <alignment horizontal="center" vertical="center"/>
    </xf>
    <xf numFmtId="0" fontId="0" fillId="2" borderId="7" xfId="0" applyFill="1" applyBorder="1"/>
    <xf numFmtId="0" fontId="31" fillId="0" borderId="0" xfId="0" applyFont="1" applyAlignment="1">
      <alignment horizontal="right" vertical="center"/>
    </xf>
    <xf numFmtId="0" fontId="40" fillId="16" borderId="14" xfId="0" applyFont="1" applyFill="1" applyBorder="1" applyAlignment="1">
      <alignment horizontal="left" vertical="center" indent="1"/>
    </xf>
    <xf numFmtId="0" fontId="0" fillId="16" borderId="15" xfId="0" applyFill="1" applyBorder="1"/>
    <xf numFmtId="0" fontId="0" fillId="16" borderId="16" xfId="0" applyFill="1" applyBorder="1"/>
    <xf numFmtId="0" fontId="31" fillId="16" borderId="17" xfId="0" applyFont="1" applyFill="1" applyBorder="1" applyAlignment="1">
      <alignment horizontal="left" vertical="center" indent="1"/>
    </xf>
    <xf numFmtId="0" fontId="0" fillId="16" borderId="13" xfId="0" applyFill="1" applyBorder="1"/>
    <xf numFmtId="0" fontId="0" fillId="16" borderId="18" xfId="0" applyFill="1" applyBorder="1"/>
    <xf numFmtId="174" fontId="41" fillId="16" borderId="17" xfId="0" applyNumberFormat="1" applyFont="1" applyFill="1" applyBorder="1" applyAlignment="1">
      <alignment horizontal="left" vertical="center" indent="1"/>
    </xf>
    <xf numFmtId="1" fontId="41" fillId="16" borderId="17" xfId="0" applyNumberFormat="1" applyFont="1" applyFill="1" applyBorder="1" applyAlignment="1">
      <alignment horizontal="left" vertical="center" indent="1"/>
    </xf>
    <xf numFmtId="171" fontId="41" fillId="16" borderId="17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  <dxfs count="92">
    <dxf>
      <font>
        <b/>
        <color rgb="FFC9284A"/>
        <name val="Arial"/>
      </font>
      <fill>
        <patternFill patternType="solid">
          <fgColor rgb="FFFFE8ED"/>
          <bgColor rgb="FFFFE8ED"/>
        </patternFill>
      </fill>
    </dxf>
    <dxf>
      <font>
        <b/>
        <color rgb="FF9A5B05"/>
        <name val="Arial"/>
      </font>
      <fill>
        <patternFill patternType="solid">
          <fgColor rgb="FFFFF1D8"/>
          <bgColor rgb="FFFFF1D8"/>
        </patternFill>
      </fill>
    </dxf>
    <dxf>
      <font>
        <b/>
        <color rgb="FF0F6B47"/>
        <name val="Arial"/>
      </font>
      <fill>
        <patternFill patternType="solid">
          <fgColor rgb="FFE2F7EC"/>
          <bgColor rgb="FFE2F7EC"/>
        </patternFill>
      </fill>
    </dxf>
    <dxf>
      <font>
        <b/>
        <color rgb="FF0B1220"/>
        <name val="Arial"/>
      </font>
      <fill>
        <patternFill patternType="solid">
          <fgColor rgb="FF1DD6C1"/>
          <bgColor rgb="FF1DD6C1"/>
        </patternFill>
      </fill>
    </dxf>
    <dxf>
      <font>
        <b/>
        <color rgb="FFC9284A"/>
        <name val="Arial"/>
      </font>
    </dxf>
    <dxf>
      <font>
        <b/>
        <color rgb="FFC9284A"/>
        <name val="Arial"/>
      </font>
      <fill>
        <patternFill patternType="solid">
          <fgColor rgb="FFFFE8ED"/>
          <bgColor rgb="FFFFE8ED"/>
        </patternFill>
      </fill>
    </dxf>
    <dxf>
      <font>
        <b/>
        <color rgb="FF9A5B05"/>
        <name val="Arial"/>
      </font>
      <fill>
        <patternFill patternType="solid">
          <fgColor rgb="FFFFF1D8"/>
          <bgColor rgb="FFFFF1D8"/>
        </patternFill>
      </fill>
    </dxf>
    <dxf>
      <font>
        <b/>
        <color rgb="FF0F6B47"/>
        <name val="Arial"/>
      </font>
      <fill>
        <patternFill patternType="solid">
          <fgColor rgb="FFE2F7EC"/>
          <bgColor rgb="FFE2F7EC"/>
        </patternFill>
      </fill>
    </dxf>
    <dxf>
      <font>
        <b/>
        <color rgb="FF0B1220"/>
        <name val="Arial"/>
      </font>
      <fill>
        <patternFill patternType="solid">
          <fgColor rgb="FF1DD6C1"/>
          <bgColor rgb="FF1DD6C1"/>
        </patternFill>
      </fill>
    </dxf>
    <dxf>
      <font>
        <b/>
        <color rgb="FFC9284A"/>
        <name val="Arial"/>
      </font>
    </dxf>
    <dxf>
      <font>
        <b/>
        <color rgb="FFC9284A"/>
        <name val="Arial"/>
      </font>
    </dxf>
    <dxf>
      <font>
        <b/>
        <color rgb="FFC9284A"/>
        <name val="Arial"/>
      </font>
      <fill>
        <patternFill patternType="solid">
          <fgColor rgb="FFFFE8ED"/>
          <bgColor rgb="FFFFE8ED"/>
        </patternFill>
      </fill>
    </dxf>
    <dxf>
      <font>
        <b/>
        <color rgb="FF9A5B05"/>
        <name val="Arial"/>
      </font>
      <fill>
        <patternFill patternType="solid">
          <fgColor rgb="FFFFF1D8"/>
          <bgColor rgb="FFFFF1D8"/>
        </patternFill>
      </fill>
    </dxf>
    <dxf>
      <font>
        <b/>
        <color rgb="FF0F6B47"/>
        <name val="Arial"/>
      </font>
      <fill>
        <patternFill patternType="solid">
          <fgColor rgb="FFE2F7EC"/>
          <bgColor rgb="FFE2F7EC"/>
        </patternFill>
      </fill>
    </dxf>
    <dxf>
      <font>
        <b/>
        <color rgb="FF0B1220"/>
        <name val="Arial"/>
      </font>
      <fill>
        <patternFill patternType="solid">
          <fgColor rgb="FF1DD6C1"/>
          <bgColor rgb="FF1DD6C1"/>
        </patternFill>
      </fill>
    </dxf>
    <dxf>
      <font>
        <b/>
        <color rgb="FFC9284A"/>
        <name val="Arial"/>
      </font>
      <fill>
        <patternFill patternType="solid">
          <fgColor rgb="FFFFE8ED"/>
          <bgColor rgb="FFFFE8ED"/>
        </patternFill>
      </fill>
    </dxf>
    <dxf>
      <font>
        <b/>
        <color rgb="FF9A5B05"/>
        <name val="Arial"/>
      </font>
      <fill>
        <patternFill patternType="solid">
          <fgColor rgb="FFFFF1D8"/>
          <bgColor rgb="FFFFF1D8"/>
        </patternFill>
      </fill>
    </dxf>
    <dxf>
      <font>
        <b/>
        <color rgb="FF0F6B47"/>
        <name val="Arial"/>
      </font>
      <fill>
        <patternFill patternType="solid">
          <fgColor rgb="FFE2F7EC"/>
          <bgColor rgb="FFE2F7EC"/>
        </patternFill>
      </fill>
    </dxf>
    <dxf>
      <font>
        <b/>
        <color rgb="FF0B1220"/>
        <name val="Arial"/>
      </font>
      <fill>
        <patternFill patternType="solid">
          <fgColor rgb="FF1DD6C1"/>
          <bgColor rgb="FF1DD6C1"/>
        </patternFill>
      </fill>
    </dxf>
    <dxf>
      <font>
        <b/>
        <color rgb="FFC9284A"/>
        <name val="Arial"/>
      </font>
      <fill>
        <patternFill patternType="solid">
          <fgColor rgb="FFFFE8ED"/>
          <bgColor rgb="FFFFE8ED"/>
        </patternFill>
      </fill>
    </dxf>
    <dxf>
      <font>
        <b/>
        <color rgb="FF9A5B05"/>
        <name val="Arial"/>
      </font>
      <fill>
        <patternFill patternType="solid">
          <fgColor rgb="FFFFF1D8"/>
          <bgColor rgb="FFFFF1D8"/>
        </patternFill>
      </fill>
    </dxf>
    <dxf>
      <font>
        <b/>
        <color rgb="FF0F6B47"/>
        <name val="Arial"/>
      </font>
      <fill>
        <patternFill patternType="solid">
          <fgColor rgb="FFE2F7EC"/>
          <bgColor rgb="FFE2F7EC"/>
        </patternFill>
      </fill>
    </dxf>
    <dxf>
      <font>
        <b/>
        <color rgb="FF0B1220"/>
        <name val="Arial"/>
      </font>
      <fill>
        <patternFill patternType="solid">
          <fgColor rgb="FF1DD6C1"/>
          <bgColor rgb="FF1DD6C1"/>
        </patternFill>
      </fill>
    </dxf>
    <dxf>
      <font>
        <color rgb="FFFFFFFF"/>
        <name val="Arial"/>
      </font>
      <fill>
        <patternFill patternType="solid">
          <fgColor rgb="FFFFFFFF"/>
          <bgColor rgb="FFFFFFFF"/>
        </patternFill>
      </fill>
    </dxf>
    <dxf>
      <font>
        <color rgb="FF5C697D"/>
        <name val="Arial"/>
      </font>
    </dxf>
    <dxf>
      <font>
        <b/>
        <color rgb="FF076B69"/>
        <name val="Arial"/>
      </font>
    </dxf>
    <dxf>
      <font>
        <b/>
        <color rgb="FFC9284A"/>
        <name val="Arial"/>
      </font>
    </dxf>
    <dxf>
      <font>
        <b/>
        <color rgb="FFC9284A"/>
        <name val="Arial"/>
      </font>
    </dxf>
    <dxf>
      <font>
        <b/>
        <color rgb="FF9A5B05"/>
        <name val="Arial"/>
      </font>
    </dxf>
    <dxf>
      <font>
        <color rgb="FF9A5B05"/>
        <name val="Arial"/>
      </font>
    </dxf>
    <dxf>
      <font>
        <color rgb="FF0F6B47"/>
        <name val="Arial"/>
      </font>
    </dxf>
    <dxf>
      <font>
        <b/>
        <color rgb="FFC9284A"/>
        <name val="Arial"/>
      </font>
    </dxf>
    <dxf>
      <font>
        <b/>
        <color rgb="FFC9284A"/>
        <name val="Arial"/>
      </font>
    </dxf>
    <dxf>
      <font>
        <b/>
        <color rgb="FF0F6B47"/>
        <name val="Arial"/>
      </font>
    </dxf>
    <dxf>
      <font>
        <b/>
        <color rgb="FF0F6B47"/>
        <name val="Arial"/>
      </font>
      <fill>
        <patternFill patternType="solid">
          <fgColor rgb="FFE2F7EC"/>
          <bgColor rgb="FFE2F7EC"/>
        </patternFill>
      </fill>
    </dxf>
    <dxf>
      <font>
        <b/>
        <color rgb="FF9A5B05"/>
        <name val="Arial"/>
      </font>
      <fill>
        <patternFill patternType="solid">
          <fgColor rgb="FFFFF1D8"/>
          <bgColor rgb="FFFFF1D8"/>
        </patternFill>
      </fill>
    </dxf>
    <dxf>
      <font>
        <b/>
        <color rgb="FFC9284A"/>
        <name val="Arial"/>
      </font>
      <fill>
        <patternFill patternType="solid">
          <fgColor rgb="FFFFE8ED"/>
          <bgColor rgb="FFFFE8ED"/>
        </patternFill>
      </fill>
    </dxf>
    <dxf>
      <font>
        <b/>
        <color rgb="FF0B1220"/>
        <name val="Arial"/>
      </font>
      <fill>
        <patternFill patternType="solid">
          <fgColor rgb="FF1DD6C1"/>
          <bgColor rgb="FF1DD6C1"/>
        </patternFill>
      </fill>
    </dxf>
    <dxf>
      <font>
        <color rgb="FF0B1220"/>
        <name val="Arial"/>
      </font>
      <fill>
        <patternFill patternType="solid">
          <fgColor rgb="FF1DD6C1"/>
          <bgColor rgb="FF1DD6C1"/>
        </patternFill>
      </fill>
    </dxf>
    <dxf>
      <font>
        <color rgb="FFFFFFFF"/>
        <name val="Arial"/>
      </font>
      <fill>
        <patternFill patternType="solid">
          <fgColor rgb="FFC9284A"/>
          <bgColor rgb="FFC9284A"/>
        </patternFill>
      </fill>
    </dxf>
    <dxf>
      <font>
        <color rgb="FF3A2EB0"/>
        <name val="Arial"/>
      </font>
      <fill>
        <patternFill patternType="solid">
          <fgColor rgb="FFCFCBFA"/>
          <bgColor rgb="FFCFCBFA"/>
        </patternFill>
      </fill>
    </dxf>
    <dxf>
      <font>
        <color rgb="FF0F6B47"/>
        <name val="Arial"/>
      </font>
      <fill>
        <patternFill patternType="solid">
          <fgColor rgb="FFB8EBCF"/>
          <bgColor rgb="FFB8EBCF"/>
        </patternFill>
      </fill>
    </dxf>
    <dxf>
      <font>
        <color rgb="FFFFFFFF"/>
        <name val="Arial"/>
      </font>
      <fill>
        <patternFill patternType="solid">
          <fgColor rgb="FF4F82EC"/>
          <bgColor rgb="FF4F82EC"/>
        </patternFill>
      </fill>
    </dxf>
    <dxf>
      <font>
        <color rgb="FF7A4804"/>
        <name val="Arial"/>
      </font>
      <fill>
        <patternFill patternType="solid">
          <fgColor rgb="FFFFDFA3"/>
          <bgColor rgb="FFFFDFA3"/>
        </patternFill>
      </fill>
    </dxf>
    <dxf>
      <font>
        <color rgb="FFFFFFFF"/>
        <name val="Arial"/>
      </font>
      <fill>
        <patternFill patternType="solid">
          <fgColor rgb="FF0B1220"/>
          <bgColor rgb="FF0B1220"/>
        </patternFill>
      </fill>
    </dxf>
    <dxf>
      <font>
        <color rgb="FFFFFFFF"/>
        <name val="Arial"/>
      </font>
      <fill>
        <patternFill patternType="solid">
          <fgColor rgb="FF4A3CCF"/>
          <bgColor rgb="FF4A3CCF"/>
        </patternFill>
      </fill>
    </dxf>
    <dxf>
      <font>
        <color rgb="FF2C59BE"/>
        <name val="Arial"/>
      </font>
      <fill>
        <patternFill patternType="solid">
          <fgColor rgb="FFC8D9FA"/>
          <bgColor rgb="FFC8D9FA"/>
        </patternFill>
      </fill>
    </dxf>
    <dxf>
      <font>
        <color rgb="FF9E1E3B"/>
        <name val="Arial"/>
      </font>
      <fill>
        <patternFill patternType="solid">
          <fgColor rgb="FFFFC7D2"/>
          <bgColor rgb="FFFFC7D2"/>
        </patternFill>
      </fill>
    </dxf>
    <dxf>
      <font>
        <color rgb="FFFFFFFF"/>
        <name val="Arial"/>
      </font>
      <fill>
        <patternFill patternType="solid">
          <fgColor rgb="FF0F6B47"/>
          <bgColor rgb="FF0F6B47"/>
        </patternFill>
      </fill>
    </dxf>
    <dxf>
      <font>
        <color rgb="FF076B69"/>
        <name val="Arial"/>
      </font>
      <fill>
        <patternFill patternType="solid">
          <fgColor rgb="FFB5F2EA"/>
          <bgColor rgb="FFB5F2EA"/>
        </patternFill>
      </fill>
    </dxf>
    <dxf>
      <font>
        <b/>
        <color rgb="FFC9284A"/>
        <name val="Arial"/>
      </font>
      <fill>
        <patternFill patternType="solid">
          <fgColor rgb="FFFFE8ED"/>
          <bgColor rgb="FFFFE8ED"/>
        </patternFill>
      </fill>
    </dxf>
    <dxf>
      <font>
        <b/>
        <color rgb="FF9A5B05"/>
        <name val="Arial"/>
      </font>
      <fill>
        <patternFill patternType="solid">
          <fgColor rgb="FFFFF1D8"/>
          <bgColor rgb="FFFFF1D8"/>
        </patternFill>
      </fill>
    </dxf>
    <dxf>
      <font>
        <b/>
        <color rgb="FF0F6B47"/>
        <name val="Arial"/>
      </font>
      <fill>
        <patternFill patternType="solid">
          <fgColor rgb="FFE2F7EC"/>
          <bgColor rgb="FFE2F7EC"/>
        </patternFill>
      </fill>
    </dxf>
    <dxf>
      <font>
        <b/>
        <color rgb="FF0B1220"/>
        <name val="Arial"/>
      </font>
      <fill>
        <patternFill patternType="solid">
          <fgColor rgb="FF1DD6C1"/>
          <bgColor rgb="FF1DD6C1"/>
        </patternFill>
      </fill>
    </dxf>
    <dxf>
      <font>
        <b/>
        <color rgb="FFC9284A"/>
        <name val="Arial"/>
      </font>
    </dxf>
    <dxf>
      <font>
        <color rgb="FF076B69"/>
        <name val="Arial"/>
      </font>
      <fill>
        <patternFill patternType="solid">
          <fgColor rgb="FFB5F2EA"/>
          <bgColor rgb="FFB5F2EA"/>
        </patternFill>
      </fill>
    </dxf>
    <dxf>
      <font>
        <color rgb="FFFFFFFF"/>
        <name val="Arial"/>
      </font>
      <fill>
        <patternFill patternType="solid">
          <fgColor rgb="FF0F6B47"/>
          <bgColor rgb="FF0F6B47"/>
        </patternFill>
      </fill>
    </dxf>
    <dxf>
      <font>
        <color rgb="FF9E1E3B"/>
        <name val="Arial"/>
      </font>
      <fill>
        <patternFill patternType="solid">
          <fgColor rgb="FFFFC7D2"/>
          <bgColor rgb="FFFFC7D2"/>
        </patternFill>
      </fill>
    </dxf>
    <dxf>
      <font>
        <color rgb="FF2C59BE"/>
        <name val="Arial"/>
      </font>
      <fill>
        <patternFill patternType="solid">
          <fgColor rgb="FFC8D9FA"/>
          <bgColor rgb="FFC8D9FA"/>
        </patternFill>
      </fill>
    </dxf>
    <dxf>
      <font>
        <color rgb="FFFFFFFF"/>
        <name val="Arial"/>
      </font>
      <fill>
        <patternFill patternType="solid">
          <fgColor rgb="FF4A3CCF"/>
          <bgColor rgb="FF4A3CCF"/>
        </patternFill>
      </fill>
    </dxf>
    <dxf>
      <font>
        <color rgb="FFFFFFFF"/>
        <name val="Arial"/>
      </font>
      <fill>
        <patternFill patternType="solid">
          <fgColor rgb="FF0B1220"/>
          <bgColor rgb="FF0B1220"/>
        </patternFill>
      </fill>
    </dxf>
    <dxf>
      <font>
        <color rgb="FF7A4804"/>
        <name val="Arial"/>
      </font>
      <fill>
        <patternFill patternType="solid">
          <fgColor rgb="FFFFDFA3"/>
          <bgColor rgb="FFFFDFA3"/>
        </patternFill>
      </fill>
    </dxf>
    <dxf>
      <font>
        <color rgb="FFFFFFFF"/>
        <name val="Arial"/>
      </font>
      <fill>
        <patternFill patternType="solid">
          <fgColor rgb="FF4F82EC"/>
          <bgColor rgb="FF4F82EC"/>
        </patternFill>
      </fill>
    </dxf>
    <dxf>
      <font>
        <color rgb="FF0F6B47"/>
        <name val="Arial"/>
      </font>
      <fill>
        <patternFill patternType="solid">
          <fgColor rgb="FFB8EBCF"/>
          <bgColor rgb="FFB8EBCF"/>
        </patternFill>
      </fill>
    </dxf>
    <dxf>
      <font>
        <color rgb="FF3A2EB0"/>
        <name val="Arial"/>
      </font>
      <fill>
        <patternFill patternType="solid">
          <fgColor rgb="FFCFCBFA"/>
          <bgColor rgb="FFCFCBFA"/>
        </patternFill>
      </fill>
    </dxf>
    <dxf>
      <font>
        <color rgb="FFFFFFFF"/>
        <name val="Arial"/>
      </font>
      <fill>
        <patternFill patternType="solid">
          <fgColor rgb="FFC9284A"/>
          <bgColor rgb="FFC9284A"/>
        </patternFill>
      </fill>
    </dxf>
    <dxf>
      <font>
        <color rgb="FF0B1220"/>
        <name val="Arial"/>
      </font>
      <fill>
        <patternFill patternType="solid">
          <fgColor rgb="FF1DD6C1"/>
          <bgColor rgb="FF1DD6C1"/>
        </patternFill>
      </fill>
    </dxf>
    <dxf>
      <font>
        <color rgb="FFC9284A"/>
        <name val="Arial"/>
      </font>
      <fill>
        <patternFill patternType="solid">
          <fgColor rgb="FFFFE8ED"/>
          <bgColor rgb="FFFFE8ED"/>
        </patternFill>
      </fill>
    </dxf>
    <dxf>
      <font>
        <color rgb="FF076B69"/>
        <name val="Arial"/>
      </font>
      <fill>
        <patternFill patternType="solid">
          <fgColor rgb="FFB5F2EA"/>
          <bgColor rgb="FFB5F2EA"/>
        </patternFill>
      </fill>
    </dxf>
    <dxf>
      <font>
        <color rgb="FFFFFFFF"/>
        <name val="Arial"/>
      </font>
      <fill>
        <patternFill patternType="solid">
          <fgColor rgb="FF0F6B47"/>
          <bgColor rgb="FF0F6B47"/>
        </patternFill>
      </fill>
    </dxf>
    <dxf>
      <font>
        <color rgb="FF9E1E3B"/>
        <name val="Arial"/>
      </font>
      <fill>
        <patternFill patternType="solid">
          <fgColor rgb="FFFFC7D2"/>
          <bgColor rgb="FFFFC7D2"/>
        </patternFill>
      </fill>
    </dxf>
    <dxf>
      <font>
        <color rgb="FF2C59BE"/>
        <name val="Arial"/>
      </font>
      <fill>
        <patternFill patternType="solid">
          <fgColor rgb="FFC8D9FA"/>
          <bgColor rgb="FFC8D9FA"/>
        </patternFill>
      </fill>
    </dxf>
    <dxf>
      <font>
        <color rgb="FFFFFFFF"/>
        <name val="Arial"/>
      </font>
      <fill>
        <patternFill patternType="solid">
          <fgColor rgb="FF4A3CCF"/>
          <bgColor rgb="FF4A3CCF"/>
        </patternFill>
      </fill>
    </dxf>
    <dxf>
      <font>
        <color rgb="FFFFFFFF"/>
        <name val="Arial"/>
      </font>
      <fill>
        <patternFill patternType="solid">
          <fgColor rgb="FF0B1220"/>
          <bgColor rgb="FF0B1220"/>
        </patternFill>
      </fill>
    </dxf>
    <dxf>
      <font>
        <color rgb="FF7A4804"/>
        <name val="Arial"/>
      </font>
      <fill>
        <patternFill patternType="solid">
          <fgColor rgb="FFFFDFA3"/>
          <bgColor rgb="FFFFDFA3"/>
        </patternFill>
      </fill>
    </dxf>
    <dxf>
      <font>
        <color rgb="FFFFFFFF"/>
        <name val="Arial"/>
      </font>
      <fill>
        <patternFill patternType="solid">
          <fgColor rgb="FF4F82EC"/>
          <bgColor rgb="FF4F82EC"/>
        </patternFill>
      </fill>
    </dxf>
    <dxf>
      <font>
        <color rgb="FF0F6B47"/>
        <name val="Arial"/>
      </font>
      <fill>
        <patternFill patternType="solid">
          <fgColor rgb="FFB8EBCF"/>
          <bgColor rgb="FFB8EBCF"/>
        </patternFill>
      </fill>
    </dxf>
    <dxf>
      <font>
        <color rgb="FF3A2EB0"/>
        <name val="Arial"/>
      </font>
      <fill>
        <patternFill patternType="solid">
          <fgColor rgb="FFCFCBFA"/>
          <bgColor rgb="FFCFCBFA"/>
        </patternFill>
      </fill>
    </dxf>
    <dxf>
      <font>
        <color rgb="FFFFFFFF"/>
        <name val="Arial"/>
      </font>
      <fill>
        <patternFill patternType="solid">
          <fgColor rgb="FFC9284A"/>
          <bgColor rgb="FFC9284A"/>
        </patternFill>
      </fill>
    </dxf>
    <dxf>
      <font>
        <color rgb="FF0B1220"/>
        <name val="Arial"/>
      </font>
      <fill>
        <patternFill patternType="solid">
          <fgColor rgb="FF1DD6C1"/>
          <bgColor rgb="FF1DD6C1"/>
        </patternFill>
      </fill>
    </dxf>
    <dxf>
      <font>
        <color rgb="FF076B69"/>
        <name val="Arial"/>
      </font>
      <fill>
        <patternFill patternType="solid">
          <fgColor rgb="FFB5F2EA"/>
          <bgColor rgb="FFB5F2EA"/>
        </patternFill>
      </fill>
    </dxf>
    <dxf>
      <font>
        <color rgb="FFFFFFFF"/>
        <name val="Arial"/>
      </font>
      <fill>
        <patternFill patternType="solid">
          <fgColor rgb="FF0F6B47"/>
          <bgColor rgb="FF0F6B47"/>
        </patternFill>
      </fill>
    </dxf>
    <dxf>
      <font>
        <color rgb="FF9E1E3B"/>
        <name val="Arial"/>
      </font>
      <fill>
        <patternFill patternType="solid">
          <fgColor rgb="FFFFC7D2"/>
          <bgColor rgb="FFFFC7D2"/>
        </patternFill>
      </fill>
    </dxf>
    <dxf>
      <font>
        <color rgb="FF2C59BE"/>
        <name val="Arial"/>
      </font>
      <fill>
        <patternFill patternType="solid">
          <fgColor rgb="FFC8D9FA"/>
          <bgColor rgb="FFC8D9FA"/>
        </patternFill>
      </fill>
    </dxf>
    <dxf>
      <font>
        <color rgb="FFFFFFFF"/>
        <name val="Arial"/>
      </font>
      <fill>
        <patternFill patternType="solid">
          <fgColor rgb="FF4A3CCF"/>
          <bgColor rgb="FF4A3CCF"/>
        </patternFill>
      </fill>
    </dxf>
    <dxf>
      <font>
        <color rgb="FFFFFFFF"/>
        <name val="Arial"/>
      </font>
      <fill>
        <patternFill patternType="solid">
          <fgColor rgb="FF0B1220"/>
          <bgColor rgb="FF0B1220"/>
        </patternFill>
      </fill>
    </dxf>
    <dxf>
      <font>
        <color rgb="FF7A4804"/>
        <name val="Arial"/>
      </font>
      <fill>
        <patternFill patternType="solid">
          <fgColor rgb="FFFFDFA3"/>
          <bgColor rgb="FFFFDFA3"/>
        </patternFill>
      </fill>
    </dxf>
    <dxf>
      <font>
        <color rgb="FFFFFFFF"/>
        <name val="Arial"/>
      </font>
      <fill>
        <patternFill patternType="solid">
          <fgColor rgb="FF4F82EC"/>
          <bgColor rgb="FF4F82EC"/>
        </patternFill>
      </fill>
    </dxf>
    <dxf>
      <font>
        <color rgb="FF0F6B47"/>
        <name val="Arial"/>
      </font>
      <fill>
        <patternFill patternType="solid">
          <fgColor rgb="FFB8EBCF"/>
          <bgColor rgb="FFB8EBCF"/>
        </patternFill>
      </fill>
    </dxf>
    <dxf>
      <font>
        <color rgb="FF3A2EB0"/>
        <name val="Arial"/>
      </font>
      <fill>
        <patternFill patternType="solid">
          <fgColor rgb="FFCFCBFA"/>
          <bgColor rgb="FFCFCBFA"/>
        </patternFill>
      </fill>
    </dxf>
    <dxf>
      <font>
        <color rgb="FFFFFFFF"/>
        <name val="Arial"/>
      </font>
      <fill>
        <patternFill patternType="solid">
          <fgColor rgb="FFC9284A"/>
          <bgColor rgb="FFC9284A"/>
        </patternFill>
      </fill>
    </dxf>
    <dxf>
      <font>
        <color rgb="FF0B1220"/>
        <name val="Arial"/>
      </font>
      <fill>
        <patternFill patternType="solid">
          <fgColor rgb="FF1DD6C1"/>
          <bgColor rgb="FF1DD6C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1"/>
  <c:style val="2"/>
  <c:chart>
    <c:title>
      <c:tx>
        <c:rich>
          <a:bodyPr/>
          <a:lstStyle/>
          <a:p>
            <a:pPr>
              <a:defRPr sz="1050" b="1">
                <a:solidFill>
                  <a:srgbClr val="0B1220"/>
                </a:solidFill>
                <a:latin typeface="Arial"/>
              </a:defRPr>
            </a:pPr>
            <a:r>
              <a:rPr sz="1050" b="1">
                <a:solidFill>
                  <a:srgbClr val="0B1220"/>
                </a:solidFill>
                <a:latin typeface="Arial"/>
              </a:rPr>
              <a:t>Ocupación media por actividad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dPt>
            <c:idx val="0"/>
            <c:invertIfNegative val="1"/>
            <c:bubble3D val="0"/>
            <c:spPr>
              <a:solidFill>
                <a:srgbClr val="1DD6C1"/>
              </a:solidFill>
              <a:ln>
                <a:solidFill>
                  <a:srgbClr val="1DD6C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2C-134C-B43C-9257B6A4EC3F}"/>
              </c:ext>
            </c:extLst>
          </c:dPt>
          <c:dPt>
            <c:idx val="1"/>
            <c:invertIfNegative val="1"/>
            <c:bubble3D val="0"/>
            <c:spPr>
              <a:solidFill>
                <a:srgbClr val="C9284A"/>
              </a:solidFill>
              <a:ln>
                <a:solidFill>
                  <a:srgbClr val="C9284A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2C-134C-B43C-9257B6A4EC3F}"/>
              </c:ext>
            </c:extLst>
          </c:dPt>
          <c:dPt>
            <c:idx val="2"/>
            <c:invertIfNegative val="1"/>
            <c:bubble3D val="0"/>
            <c:spPr>
              <a:solidFill>
                <a:srgbClr val="CFCBFA"/>
              </a:solidFill>
              <a:ln>
                <a:solidFill>
                  <a:srgbClr val="CFCBFA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2C-134C-B43C-9257B6A4EC3F}"/>
              </c:ext>
            </c:extLst>
          </c:dPt>
          <c:dPt>
            <c:idx val="3"/>
            <c:invertIfNegative val="1"/>
            <c:bubble3D val="0"/>
            <c:spPr>
              <a:solidFill>
                <a:srgbClr val="B8EBCF"/>
              </a:solidFill>
              <a:ln>
                <a:solidFill>
                  <a:srgbClr val="B8EBC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2C-134C-B43C-9257B6A4EC3F}"/>
              </c:ext>
            </c:extLst>
          </c:dPt>
          <c:dPt>
            <c:idx val="4"/>
            <c:invertIfNegative val="1"/>
            <c:bubble3D val="0"/>
            <c:spPr>
              <a:solidFill>
                <a:srgbClr val="4F82EC"/>
              </a:solidFill>
              <a:ln>
                <a:solidFill>
                  <a:srgbClr val="4F82EC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72C-134C-B43C-9257B6A4EC3F}"/>
              </c:ext>
            </c:extLst>
          </c:dPt>
          <c:dPt>
            <c:idx val="5"/>
            <c:invertIfNegative val="1"/>
            <c:bubble3D val="0"/>
            <c:spPr>
              <a:solidFill>
                <a:srgbClr val="FFDFA3"/>
              </a:solidFill>
              <a:ln>
                <a:solidFill>
                  <a:srgbClr val="FFDFA3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72C-134C-B43C-9257B6A4EC3F}"/>
              </c:ext>
            </c:extLst>
          </c:dPt>
          <c:dPt>
            <c:idx val="6"/>
            <c:invertIfNegative val="1"/>
            <c:bubble3D val="0"/>
            <c:spPr>
              <a:solidFill>
                <a:srgbClr val="0B1220"/>
              </a:solidFill>
              <a:ln>
                <a:solidFill>
                  <a:srgbClr val="0B122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72C-134C-B43C-9257B6A4EC3F}"/>
              </c:ext>
            </c:extLst>
          </c:dPt>
          <c:dPt>
            <c:idx val="7"/>
            <c:invertIfNegative val="1"/>
            <c:bubble3D val="0"/>
            <c:spPr>
              <a:solidFill>
                <a:srgbClr val="4A3CCF"/>
              </a:solidFill>
              <a:ln>
                <a:solidFill>
                  <a:srgbClr val="4A3CCF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72C-134C-B43C-9257B6A4EC3F}"/>
              </c:ext>
            </c:extLst>
          </c:dPt>
          <c:dPt>
            <c:idx val="8"/>
            <c:invertIfNegative val="1"/>
            <c:bubble3D val="0"/>
            <c:spPr>
              <a:solidFill>
                <a:srgbClr val="C8D9FA"/>
              </a:solidFill>
              <a:ln>
                <a:solidFill>
                  <a:srgbClr val="C8D9FA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72C-134C-B43C-9257B6A4EC3F}"/>
              </c:ext>
            </c:extLst>
          </c:dPt>
          <c:dPt>
            <c:idx val="9"/>
            <c:invertIfNegative val="1"/>
            <c:bubble3D val="0"/>
            <c:spPr>
              <a:solidFill>
                <a:srgbClr val="FFC7D2"/>
              </a:solidFill>
              <a:ln>
                <a:solidFill>
                  <a:srgbClr val="FFC7D2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72C-134C-B43C-9257B6A4EC3F}"/>
              </c:ext>
            </c:extLst>
          </c:dPt>
          <c:dPt>
            <c:idx val="10"/>
            <c:invertIfNegative val="1"/>
            <c:bubble3D val="0"/>
            <c:spPr>
              <a:solidFill>
                <a:srgbClr val="0F6B47"/>
              </a:solidFill>
              <a:ln>
                <a:solidFill>
                  <a:srgbClr val="0F6B47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72C-134C-B43C-9257B6A4EC3F}"/>
              </c:ext>
            </c:extLst>
          </c:dPt>
          <c:dPt>
            <c:idx val="11"/>
            <c:invertIfNegative val="1"/>
            <c:bubble3D val="0"/>
            <c:spPr>
              <a:solidFill>
                <a:srgbClr val="B5F2EA"/>
              </a:solidFill>
              <a:ln>
                <a:solidFill>
                  <a:srgbClr val="B5F2EA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B72C-134C-B43C-9257B6A4EC3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0B1220"/>
                    </a:solidFill>
                    <a:latin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Panel!$U$20:$U$31</c:f>
              <c:strCache>
                <c:ptCount val="10"/>
                <c:pt idx="0">
                  <c:v>Cross training</c:v>
                </c:pt>
                <c:pt idx="1">
                  <c:v>HIIT</c:v>
                </c:pt>
                <c:pt idx="2">
                  <c:v>Pilates</c:v>
                </c:pt>
                <c:pt idx="3">
                  <c:v>Yoga</c:v>
                </c:pt>
                <c:pt idx="4">
                  <c:v>Ciclo indoor</c:v>
                </c:pt>
                <c:pt idx="5">
                  <c:v>Movilidad</c:v>
                </c:pt>
                <c:pt idx="6">
                  <c:v>Open box</c:v>
                </c:pt>
                <c:pt idx="7">
                  <c:v>Halterofilia</c:v>
                </c:pt>
                <c:pt idx="8">
                  <c:v>Core exprés</c:v>
                </c:pt>
                <c:pt idx="9">
                  <c:v>Funcional sénior</c:v>
                </c:pt>
              </c:strCache>
            </c:strRef>
          </c:cat>
          <c:val>
            <c:numRef>
              <c:f>Panel!$V$20:$V$31</c:f>
              <c:numCache>
                <c:formatCode>0%;\-0%;;</c:formatCode>
                <c:ptCount val="12"/>
                <c:pt idx="0">
                  <c:v>0.8331360479797979</c:v>
                </c:pt>
                <c:pt idx="1">
                  <c:v>0.33522727272727271</c:v>
                </c:pt>
                <c:pt idx="2">
                  <c:v>0.75676406926406925</c:v>
                </c:pt>
                <c:pt idx="3">
                  <c:v>0.62394781144781153</c:v>
                </c:pt>
                <c:pt idx="4">
                  <c:v>0.80324074074074081</c:v>
                </c:pt>
                <c:pt idx="5">
                  <c:v>0.45244107744107737</c:v>
                </c:pt>
                <c:pt idx="6">
                  <c:v>0.66477272727272729</c:v>
                </c:pt>
                <c:pt idx="7">
                  <c:v>0.50615530303030298</c:v>
                </c:pt>
                <c:pt idx="8">
                  <c:v>0.2951388888888889</c:v>
                </c:pt>
                <c:pt idx="9">
                  <c:v>0.84583333333333344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72C-134C-B43C-9257B6A4EC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1"/>
          <c:showBubbleSize val="1"/>
        </c:dLbls>
        <c:gapWidth val="35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solidFill>
              <a:srgbClr val="E3E9F0"/>
            </a:solidFill>
            <a:prstDash val="solid"/>
          </a:ln>
        </c:spPr>
        <c:txPr>
          <a:bodyPr/>
          <a:lstStyle/>
          <a:p>
            <a:pPr>
              <a:defRPr sz="850" b="0">
                <a:solidFill>
                  <a:srgbClr val="4B586B"/>
                </a:solidFill>
                <a:latin typeface="Arial"/>
              </a:defRPr>
            </a:pPr>
            <a:endParaRPr lang="es-E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t"/>
        <c:numFmt formatCode="0%;\-0%;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0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1"/>
  <c:style val="2"/>
  <c:chart>
    <c:title>
      <c:tx>
        <c:rich>
          <a:bodyPr/>
          <a:lstStyle/>
          <a:p>
            <a:pPr>
              <a:defRPr sz="1050" b="1">
                <a:solidFill>
                  <a:srgbClr val="0B1220"/>
                </a:solidFill>
                <a:latin typeface="Arial"/>
              </a:defRPr>
            </a:pPr>
            <a:r>
              <a:rPr sz="1050" b="1">
                <a:solidFill>
                  <a:srgbClr val="0B1220"/>
                </a:solidFill>
                <a:latin typeface="Arial"/>
              </a:rPr>
              <a:t>Ocupación por franja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spPr>
            <a:solidFill>
              <a:srgbClr val="1DD6C1"/>
            </a:solidFill>
            <a:ln>
              <a:solidFill>
                <a:srgbClr val="1DD6C1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0B1220"/>
                    </a:solidFill>
                    <a:latin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Panel!$W$20:$W$25</c:f>
              <c:strCache>
                <c:ptCount val="6"/>
                <c:pt idx="0">
                  <c:v>Primera hora</c:v>
                </c:pt>
                <c:pt idx="1">
                  <c:v>Mañana</c:v>
                </c:pt>
                <c:pt idx="2">
                  <c:v>Mediodía</c:v>
                </c:pt>
                <c:pt idx="3">
                  <c:v>Tarde</c:v>
                </c:pt>
                <c:pt idx="4">
                  <c:v>Tarde-noche</c:v>
                </c:pt>
                <c:pt idx="5">
                  <c:v>Noche</c:v>
                </c:pt>
              </c:strCache>
            </c:strRef>
          </c:cat>
          <c:val>
            <c:numRef>
              <c:f>Panel!$X$20:$X$25</c:f>
              <c:numCache>
                <c:formatCode>0%;\-0%;;</c:formatCode>
                <c:ptCount val="6"/>
                <c:pt idx="0">
                  <c:v>0.89034090909090913</c:v>
                </c:pt>
                <c:pt idx="1">
                  <c:v>0.64375000000000004</c:v>
                </c:pt>
                <c:pt idx="2">
                  <c:v>0.31804653679653683</c:v>
                </c:pt>
                <c:pt idx="3">
                  <c:v>0.69602272727272718</c:v>
                </c:pt>
                <c:pt idx="4">
                  <c:v>0.76623376623376627</c:v>
                </c:pt>
                <c:pt idx="5">
                  <c:v>0.61197916666666674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1DD6C1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862-6C4C-B794-CBAB64564AD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1"/>
          <c:showBubbleSize val="1"/>
        </c:dLbls>
        <c:gapWidth val="45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solidFill>
              <a:srgbClr val="E3E9F0"/>
            </a:solidFill>
            <a:prstDash val="solid"/>
          </a:ln>
        </c:spPr>
        <c:txPr>
          <a:bodyPr/>
          <a:lstStyle/>
          <a:p>
            <a:pPr>
              <a:defRPr sz="850" b="0">
                <a:solidFill>
                  <a:srgbClr val="4B586B"/>
                </a:solidFill>
                <a:latin typeface="Arial"/>
              </a:defRPr>
            </a:pPr>
            <a:endParaRPr lang="es-E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t"/>
        <c:numFmt formatCode="0%;\-0%;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0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1"/>
  <c:style val="2"/>
  <c:chart>
    <c:title>
      <c:tx>
        <c:rich>
          <a:bodyPr/>
          <a:lstStyle/>
          <a:p>
            <a:pPr>
              <a:defRPr sz="1050" b="1">
                <a:solidFill>
                  <a:srgbClr val="0B1220"/>
                </a:solidFill>
                <a:latin typeface="Arial"/>
              </a:defRPr>
            </a:pPr>
            <a:r>
              <a:rPr sz="1050" b="1">
                <a:solidFill>
                  <a:srgbClr val="0B1220"/>
                </a:solidFill>
                <a:latin typeface="Arial"/>
              </a:rPr>
              <a:t>Ocupación semana a semana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4A3CCF"/>
            </a:solidFill>
            <a:ln>
              <a:solidFill>
                <a:srgbClr val="4A3CCF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>
                    <a:solidFill>
                      <a:srgbClr val="0B1220"/>
                    </a:solidFill>
                    <a:latin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Panel!$S$20:$S$31</c:f>
              <c:strCache>
                <c:ptCount val="12"/>
                <c:pt idx="0">
                  <c:v>S1</c:v>
                </c:pt>
                <c:pt idx="1">
                  <c:v>S2</c:v>
                </c:pt>
                <c:pt idx="2">
                  <c:v>S3</c:v>
                </c:pt>
                <c:pt idx="3">
                  <c:v>S4</c:v>
                </c:pt>
                <c:pt idx="4">
                  <c:v>S5</c:v>
                </c:pt>
                <c:pt idx="5">
                  <c:v>S6</c:v>
                </c:pt>
                <c:pt idx="6">
                  <c:v>S7</c:v>
                </c:pt>
                <c:pt idx="7">
                  <c:v>S8</c:v>
                </c:pt>
                <c:pt idx="8">
                  <c:v>S9</c:v>
                </c:pt>
                <c:pt idx="9">
                  <c:v>S10</c:v>
                </c:pt>
                <c:pt idx="10">
                  <c:v>S11</c:v>
                </c:pt>
                <c:pt idx="11">
                  <c:v>S12</c:v>
                </c:pt>
              </c:strCache>
            </c:strRef>
          </c:cat>
          <c:val>
            <c:numRef>
              <c:f>Panel!$T$20:$T$31</c:f>
              <c:numCache>
                <c:formatCode>0%;\-0%;;</c:formatCode>
                <c:ptCount val="12"/>
                <c:pt idx="0">
                  <c:v>0.62708333333333333</c:v>
                </c:pt>
                <c:pt idx="1">
                  <c:v>0.60629921259842523</c:v>
                </c:pt>
                <c:pt idx="2">
                  <c:v>0.63385826771653542</c:v>
                </c:pt>
                <c:pt idx="3">
                  <c:v>0.68503937007874016</c:v>
                </c:pt>
                <c:pt idx="4">
                  <c:v>0.702755905511811</c:v>
                </c:pt>
                <c:pt idx="5">
                  <c:v>0.72834645669291342</c:v>
                </c:pt>
                <c:pt idx="6">
                  <c:v>0.72244094488188981</c:v>
                </c:pt>
                <c:pt idx="7">
                  <c:v>0.72637795275590555</c:v>
                </c:pt>
                <c:pt idx="8">
                  <c:v>0.72440944881889768</c:v>
                </c:pt>
                <c:pt idx="9">
                  <c:v>0.73774509803921573</c:v>
                </c:pt>
                <c:pt idx="10">
                  <c:v>0.71653543307086609</c:v>
                </c:pt>
                <c:pt idx="11">
                  <c:v>0.7338709677419355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4A3CC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105-5442-89CB-D3FA01137A5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1"/>
          <c:showBubbleSize val="1"/>
        </c:dLbls>
        <c:gapWidth val="4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E3E9F0"/>
            </a:solidFill>
            <a:prstDash val="solid"/>
          </a:ln>
        </c:spPr>
        <c:txPr>
          <a:bodyPr/>
          <a:lstStyle/>
          <a:p>
            <a:pPr>
              <a:defRPr sz="850" b="0">
                <a:solidFill>
                  <a:srgbClr val="4B586B"/>
                </a:solidFill>
                <a:latin typeface="Arial"/>
              </a:defRPr>
            </a:pPr>
            <a:endParaRPr lang="es-E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1"/>
        <c:axPos val="l"/>
        <c:numFmt formatCode="0%;\-0%;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0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076325" cy="3238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</xdr:row>
      <xdr:rowOff>0</xdr:rowOff>
    </xdr:from>
    <xdr:ext cx="2876550" cy="2762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28575</xdr:colOff>
      <xdr:row>16</xdr:row>
      <xdr:rowOff>0</xdr:rowOff>
    </xdr:from>
    <xdr:ext cx="2876550" cy="27622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10</xdr:col>
      <xdr:colOff>390525</xdr:colOff>
      <xdr:row>16</xdr:row>
      <xdr:rowOff>0</xdr:rowOff>
    </xdr:from>
    <xdr:ext cx="2876550" cy="276225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0</xdr:rowOff>
    </xdr:from>
    <xdr:ext cx="381000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gymgym.es/recursos/?utm_source=horario-clases&amp;utm_medium=descarga&amp;utm_campaign=recurso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gymgym.es/?utm_source=horario-clases&amp;utm_medium=descarga&amp;utm_campaign=recur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1220"/>
    <pageSetUpPr fitToPage="1"/>
  </sheetPr>
  <dimension ref="B1:N52"/>
  <sheetViews>
    <sheetView showGridLines="0" tabSelected="1" workbookViewId="0"/>
  </sheetViews>
  <sheetFormatPr baseColWidth="10" defaultColWidth="8.83203125" defaultRowHeight="15" x14ac:dyDescent="0.2"/>
  <cols>
    <col min="1" max="1" width="3" customWidth="1"/>
    <col min="2" max="2" width="6" customWidth="1"/>
    <col min="3" max="14" width="7.33203125" customWidth="1"/>
    <col min="15" max="15" width="3" customWidth="1"/>
  </cols>
  <sheetData>
    <row r="1" spans="2:14" ht="10" customHeight="1" x14ac:dyDescent="0.2"/>
    <row r="2" spans="2:14" ht="22" customHeight="1" x14ac:dyDescent="0.2"/>
    <row r="3" spans="2:14" ht="14" customHeight="1" x14ac:dyDescent="0.2"/>
    <row r="5" spans="2:14" ht="36" customHeight="1" x14ac:dyDescent="0.3">
      <c r="B5" s="147" t="s">
        <v>0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</row>
    <row r="6" spans="2:14" ht="32" customHeight="1" x14ac:dyDescent="0.2">
      <c r="B6" s="146" t="s">
        <v>1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2:14" ht="6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9" spans="2:14" ht="24" customHeight="1" x14ac:dyDescent="0.2">
      <c r="B9" s="144" t="s">
        <v>2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</row>
    <row r="10" spans="2:14" ht="20" customHeight="1" x14ac:dyDescent="0.2">
      <c r="B10" s="3">
        <v>1</v>
      </c>
      <c r="C10" s="141" t="s">
        <v>3</v>
      </c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</row>
    <row r="11" spans="2:14" ht="32" customHeight="1" x14ac:dyDescent="0.2">
      <c r="C11" s="148" t="s">
        <v>4</v>
      </c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</row>
    <row r="12" spans="2:14" ht="6" customHeight="1" x14ac:dyDescent="0.2"/>
    <row r="13" spans="2:14" ht="20" customHeight="1" x14ac:dyDescent="0.2">
      <c r="B13" s="3">
        <v>2</v>
      </c>
      <c r="C13" s="141" t="s">
        <v>5</v>
      </c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</row>
    <row r="14" spans="2:14" ht="32" customHeight="1" x14ac:dyDescent="0.2">
      <c r="C14" s="148" t="s">
        <v>6</v>
      </c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</row>
    <row r="15" spans="2:14" ht="6" customHeight="1" x14ac:dyDescent="0.2"/>
    <row r="16" spans="2:14" ht="20" customHeight="1" x14ac:dyDescent="0.2">
      <c r="B16" s="3">
        <v>3</v>
      </c>
      <c r="C16" s="141" t="s">
        <v>7</v>
      </c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</row>
    <row r="17" spans="2:14" ht="32" customHeight="1" x14ac:dyDescent="0.2">
      <c r="C17" s="148" t="s">
        <v>8</v>
      </c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</row>
    <row r="18" spans="2:14" ht="6" customHeight="1" x14ac:dyDescent="0.2"/>
    <row r="19" spans="2:14" ht="20" customHeight="1" x14ac:dyDescent="0.2">
      <c r="B19" s="3">
        <v>4</v>
      </c>
      <c r="C19" s="141" t="s">
        <v>9</v>
      </c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</row>
    <row r="20" spans="2:14" ht="32" customHeight="1" x14ac:dyDescent="0.2">
      <c r="C20" s="148" t="s">
        <v>10</v>
      </c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</row>
    <row r="21" spans="2:14" ht="6" customHeight="1" x14ac:dyDescent="0.2"/>
    <row r="22" spans="2:14" ht="20" customHeight="1" x14ac:dyDescent="0.2">
      <c r="B22" s="3">
        <v>5</v>
      </c>
      <c r="C22" s="141" t="s">
        <v>11</v>
      </c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</row>
    <row r="23" spans="2:14" ht="32" customHeight="1" x14ac:dyDescent="0.2">
      <c r="C23" s="148" t="s">
        <v>12</v>
      </c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</row>
    <row r="24" spans="2:14" ht="6" customHeight="1" x14ac:dyDescent="0.2"/>
    <row r="25" spans="2:14" ht="24" customHeight="1" x14ac:dyDescent="0.2">
      <c r="B25" s="144" t="s">
        <v>13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</row>
    <row r="26" spans="2:14" ht="46" customHeight="1" x14ac:dyDescent="0.2">
      <c r="B26" s="4"/>
      <c r="C26" s="149" t="s">
        <v>14</v>
      </c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</row>
    <row r="27" spans="2:14" ht="32" customHeight="1" x14ac:dyDescent="0.2">
      <c r="B27" s="4"/>
      <c r="C27" s="149" t="s">
        <v>15</v>
      </c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</row>
    <row r="28" spans="2:14" ht="32" customHeight="1" x14ac:dyDescent="0.2">
      <c r="B28" s="4"/>
      <c r="C28" s="149" t="s">
        <v>16</v>
      </c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</row>
    <row r="29" spans="2:14" ht="8" customHeight="1" x14ac:dyDescent="0.2"/>
    <row r="30" spans="2:14" ht="24" customHeight="1" x14ac:dyDescent="0.2">
      <c r="B30" s="144" t="s">
        <v>17</v>
      </c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</row>
    <row r="31" spans="2:14" ht="19" customHeight="1" x14ac:dyDescent="0.2">
      <c r="B31" s="5"/>
      <c r="C31" s="145" t="s">
        <v>18</v>
      </c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</row>
    <row r="32" spans="2:14" ht="19" customHeight="1" x14ac:dyDescent="0.2">
      <c r="B32" s="6"/>
      <c r="C32" s="145" t="s">
        <v>19</v>
      </c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</row>
    <row r="33" spans="2:14" ht="32" customHeight="1" x14ac:dyDescent="0.2">
      <c r="B33" s="7"/>
      <c r="C33" s="153" t="s">
        <v>20</v>
      </c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</row>
    <row r="34" spans="2:14" ht="19" customHeight="1" x14ac:dyDescent="0.2">
      <c r="B34" s="8"/>
      <c r="C34" s="151" t="s">
        <v>21</v>
      </c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</row>
    <row r="35" spans="2:14" ht="32" customHeight="1" x14ac:dyDescent="0.2">
      <c r="B35" s="9"/>
      <c r="C35" s="145" t="s">
        <v>22</v>
      </c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</row>
    <row r="36" spans="2:14" ht="19" customHeight="1" x14ac:dyDescent="0.2">
      <c r="C36" s="151" t="s">
        <v>23</v>
      </c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</row>
    <row r="37" spans="2:14" ht="20" customHeight="1" x14ac:dyDescent="0.2">
      <c r="C37" s="10">
        <v>1</v>
      </c>
      <c r="D37" s="11">
        <v>2</v>
      </c>
      <c r="E37" s="12">
        <v>3</v>
      </c>
      <c r="F37" s="13">
        <v>4</v>
      </c>
      <c r="G37" s="14">
        <v>5</v>
      </c>
      <c r="H37" s="15">
        <v>6</v>
      </c>
      <c r="I37" s="16">
        <v>7</v>
      </c>
      <c r="J37" s="17">
        <v>8</v>
      </c>
      <c r="K37" s="18">
        <v>9</v>
      </c>
      <c r="L37" s="19">
        <v>10</v>
      </c>
      <c r="M37" s="20">
        <v>11</v>
      </c>
      <c r="N37" s="21">
        <v>12</v>
      </c>
    </row>
    <row r="39" spans="2:14" ht="24" customHeight="1" x14ac:dyDescent="0.2">
      <c r="B39" s="144" t="s">
        <v>24</v>
      </c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</row>
    <row r="40" spans="2:14" ht="32" customHeight="1" x14ac:dyDescent="0.2">
      <c r="C40" s="143" t="s">
        <v>25</v>
      </c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</row>
    <row r="41" spans="2:14" ht="18" customHeight="1" x14ac:dyDescent="0.2">
      <c r="C41" s="143" t="s">
        <v>26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</row>
    <row r="42" spans="2:14" ht="18" customHeight="1" x14ac:dyDescent="0.2">
      <c r="C42" s="143" t="s">
        <v>27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</row>
    <row r="43" spans="2:14" ht="32" customHeight="1" x14ac:dyDescent="0.2">
      <c r="C43" s="143" t="s">
        <v>28</v>
      </c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</row>
    <row r="44" spans="2:14" ht="8" customHeight="1" x14ac:dyDescent="0.2"/>
    <row r="45" spans="2:14" ht="24" customHeight="1" x14ac:dyDescent="0.2">
      <c r="B45" s="144" t="s">
        <v>29</v>
      </c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</row>
    <row r="46" spans="2:14" ht="32" customHeight="1" x14ac:dyDescent="0.2">
      <c r="C46" s="143" t="s">
        <v>30</v>
      </c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</row>
    <row r="47" spans="2:14" ht="32" customHeight="1" x14ac:dyDescent="0.2">
      <c r="C47" s="143" t="s">
        <v>31</v>
      </c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</row>
    <row r="48" spans="2:14" ht="32" customHeight="1" x14ac:dyDescent="0.2">
      <c r="C48" s="143" t="s">
        <v>32</v>
      </c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</row>
    <row r="49" spans="2:14" ht="18" customHeight="1" x14ac:dyDescent="0.2">
      <c r="C49" s="143" t="s">
        <v>33</v>
      </c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</row>
    <row r="50" spans="2:14" ht="32" customHeight="1" x14ac:dyDescent="0.2">
      <c r="C50" s="143" t="s">
        <v>34</v>
      </c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</row>
    <row r="52" spans="2:14" ht="20" customHeight="1" x14ac:dyDescent="0.2">
      <c r="B52" s="152" t="s">
        <v>35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</row>
  </sheetData>
  <mergeCells count="36">
    <mergeCell ref="B52:N52"/>
    <mergeCell ref="C13:N13"/>
    <mergeCell ref="B39:N39"/>
    <mergeCell ref="C49:N49"/>
    <mergeCell ref="C34:N34"/>
    <mergeCell ref="C42:N42"/>
    <mergeCell ref="C33:N33"/>
    <mergeCell ref="C14:N14"/>
    <mergeCell ref="C26:N26"/>
    <mergeCell ref="C35:N35"/>
    <mergeCell ref="C20:N20"/>
    <mergeCell ref="B6:N6"/>
    <mergeCell ref="C43:N43"/>
    <mergeCell ref="B5:N5"/>
    <mergeCell ref="C46:N46"/>
    <mergeCell ref="B45:N45"/>
    <mergeCell ref="C11:N11"/>
    <mergeCell ref="C27:N27"/>
    <mergeCell ref="C36:N36"/>
    <mergeCell ref="C23:N23"/>
    <mergeCell ref="C17:N17"/>
    <mergeCell ref="B25:N25"/>
    <mergeCell ref="C32:N32"/>
    <mergeCell ref="C19:N19"/>
    <mergeCell ref="C28:N28"/>
    <mergeCell ref="C10:N10"/>
    <mergeCell ref="C16:N16"/>
    <mergeCell ref="C47:N47"/>
    <mergeCell ref="B9:N9"/>
    <mergeCell ref="C50:N50"/>
    <mergeCell ref="C41:N41"/>
    <mergeCell ref="C31:N31"/>
    <mergeCell ref="C22:N22"/>
    <mergeCell ref="B30:N30"/>
    <mergeCell ref="C40:N40"/>
    <mergeCell ref="C48:N48"/>
  </mergeCells>
  <hyperlinks>
    <hyperlink ref="B52" r:id="rId1" xr:uid="{00000000-0004-0000-0000-000000000000}"/>
  </hyperlinks>
  <printOptions horizontalCentered="1"/>
  <pageMargins left="0.4" right="0.4" top="0.45" bottom="0.55000000000000004" header="0.2" footer="0.25"/>
  <pageSetup paperSize="9" orientation="portrait"/>
  <headerFooter>
    <oddFooter>&amp;L&amp;"Arial,Regular"&amp;7 &amp;K5C697D&amp;A&amp;C&amp;"Arial,Regular"&amp;7 &amp;K5C697DPlantilla gratuita de GymGym · gymgym.es/recursos&amp;R&amp;"Arial,Regular"&amp;7 &amp;K5C697DPágina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DD6C1"/>
    <pageSetUpPr fitToPage="1"/>
  </sheetPr>
  <dimension ref="B1:H37"/>
  <sheetViews>
    <sheetView showGridLines="0" workbookViewId="0"/>
  </sheetViews>
  <sheetFormatPr baseColWidth="10" defaultColWidth="8.83203125" defaultRowHeight="15" x14ac:dyDescent="0.2"/>
  <cols>
    <col min="1" max="1" width="2.5" customWidth="1"/>
    <col min="2" max="2" width="34" customWidth="1"/>
    <col min="3" max="3" width="30" customWidth="1"/>
    <col min="4" max="4" width="3" customWidth="1"/>
    <col min="5" max="5" width="7" customWidth="1"/>
    <col min="6" max="6" width="22" customWidth="1"/>
    <col min="7" max="7" width="15" customWidth="1"/>
    <col min="8" max="8" width="17" customWidth="1"/>
  </cols>
  <sheetData>
    <row r="1" spans="2:8" ht="30" customHeight="1" x14ac:dyDescent="0.25">
      <c r="B1" s="22" t="s">
        <v>36</v>
      </c>
    </row>
    <row r="2" spans="2:8" ht="18" customHeight="1" x14ac:dyDescent="0.2">
      <c r="B2" s="23" t="s">
        <v>37</v>
      </c>
    </row>
    <row r="3" spans="2:8" ht="5" customHeight="1" x14ac:dyDescent="0.2">
      <c r="B3" s="2"/>
      <c r="C3" s="2"/>
      <c r="D3" s="2"/>
      <c r="E3" s="2"/>
      <c r="F3" s="2"/>
      <c r="G3" s="2"/>
      <c r="H3" s="2"/>
    </row>
    <row r="5" spans="2:8" ht="22" customHeight="1" x14ac:dyDescent="0.2">
      <c r="B5" s="24" t="s">
        <v>38</v>
      </c>
      <c r="C5" s="24"/>
      <c r="E5" s="25" t="s">
        <v>39</v>
      </c>
      <c r="F5" s="26" t="s">
        <v>40</v>
      </c>
      <c r="G5" s="25" t="s">
        <v>41</v>
      </c>
      <c r="H5" s="25" t="s">
        <v>42</v>
      </c>
    </row>
    <row r="6" spans="2:8" ht="20" customHeight="1" x14ac:dyDescent="0.2">
      <c r="B6" s="27" t="s">
        <v>43</v>
      </c>
      <c r="C6" s="28" t="s">
        <v>44</v>
      </c>
      <c r="E6" s="29">
        <v>1</v>
      </c>
      <c r="F6" s="30" t="s">
        <v>45</v>
      </c>
      <c r="G6" s="31">
        <v>16</v>
      </c>
      <c r="H6" s="32">
        <f>IF(F6="","",COUNTIF(Clases!$F$6:$F$65,F6))</f>
        <v>19</v>
      </c>
    </row>
    <row r="7" spans="2:8" ht="30" customHeight="1" x14ac:dyDescent="0.2">
      <c r="B7" s="27" t="s">
        <v>46</v>
      </c>
      <c r="C7" s="28" t="s">
        <v>47</v>
      </c>
      <c r="E7" s="29">
        <v>2</v>
      </c>
      <c r="F7" s="30" t="s">
        <v>48</v>
      </c>
      <c r="G7" s="31">
        <v>12</v>
      </c>
      <c r="H7" s="32">
        <f>IF(F7="","",COUNTIF(Clases!$F$6:$F$65,F7))</f>
        <v>18</v>
      </c>
    </row>
    <row r="8" spans="2:8" ht="30" customHeight="1" x14ac:dyDescent="0.2">
      <c r="B8" s="27" t="s">
        <v>49</v>
      </c>
      <c r="C8" s="28" t="s">
        <v>50</v>
      </c>
      <c r="E8" s="29">
        <v>3</v>
      </c>
      <c r="F8" s="30"/>
      <c r="G8" s="31"/>
      <c r="H8" s="32" t="str">
        <f>IF(F8="","",COUNTIF(Clases!$F$6:$F$65,F8))</f>
        <v/>
      </c>
    </row>
    <row r="9" spans="2:8" ht="20" customHeight="1" x14ac:dyDescent="0.2">
      <c r="B9" s="27" t="s">
        <v>51</v>
      </c>
      <c r="C9" s="33">
        <v>46244</v>
      </c>
      <c r="E9" s="29">
        <v>4</v>
      </c>
      <c r="F9" s="30"/>
      <c r="G9" s="31"/>
      <c r="H9" s="32" t="str">
        <f>IF(F9="","",COUNTIF(Clases!$F$6:$F$65,F9))</f>
        <v/>
      </c>
    </row>
    <row r="10" spans="2:8" x14ac:dyDescent="0.2">
      <c r="E10" s="29">
        <v>5</v>
      </c>
      <c r="F10" s="30"/>
      <c r="G10" s="31"/>
      <c r="H10" s="32" t="str">
        <f>IF(F10="","",COUNTIF(Clases!$F$6:$F$65,F10))</f>
        <v/>
      </c>
    </row>
    <row r="11" spans="2:8" ht="22" customHeight="1" x14ac:dyDescent="0.2">
      <c r="B11" s="24" t="s">
        <v>52</v>
      </c>
      <c r="C11" s="24"/>
      <c r="E11" s="29">
        <v>6</v>
      </c>
      <c r="F11" s="30"/>
      <c r="G11" s="31"/>
      <c r="H11" s="32" t="str">
        <f>IF(F11="","",COUNTIF(Clases!$F$6:$F$65,F11))</f>
        <v/>
      </c>
    </row>
    <row r="12" spans="2:8" ht="20" customHeight="1" x14ac:dyDescent="0.2">
      <c r="B12" s="27" t="s">
        <v>53</v>
      </c>
      <c r="C12" s="34">
        <v>62</v>
      </c>
    </row>
    <row r="13" spans="2:8" ht="20" customHeight="1" x14ac:dyDescent="0.2">
      <c r="B13" s="27" t="s">
        <v>54</v>
      </c>
      <c r="C13" s="35">
        <v>9</v>
      </c>
      <c r="E13" s="25" t="s">
        <v>39</v>
      </c>
      <c r="F13" s="26" t="s">
        <v>55</v>
      </c>
      <c r="G13" s="25" t="s">
        <v>56</v>
      </c>
      <c r="H13" s="25" t="s">
        <v>57</v>
      </c>
    </row>
    <row r="14" spans="2:8" ht="20" customHeight="1" x14ac:dyDescent="0.2">
      <c r="B14" s="27" t="s">
        <v>58</v>
      </c>
      <c r="C14" s="34"/>
      <c r="E14" s="29">
        <v>1</v>
      </c>
      <c r="F14" s="30" t="s">
        <v>59</v>
      </c>
      <c r="G14" s="36">
        <v>18</v>
      </c>
      <c r="H14" s="37">
        <f>IF(F14="","",SUMIF(Clases!$G$6:$G$65,F14,Clases!$J$6:$J$65)/60)</f>
        <v>7</v>
      </c>
    </row>
    <row r="15" spans="2:8" ht="24" customHeight="1" x14ac:dyDescent="0.2">
      <c r="B15" s="38" t="s">
        <v>52</v>
      </c>
      <c r="C15" s="39">
        <f>IF(C14&lt;&gt;"",C14,IFERROR(C12/C13,0))</f>
        <v>6.8888888888888893</v>
      </c>
      <c r="E15" s="29">
        <v>2</v>
      </c>
      <c r="F15" s="30" t="s">
        <v>60</v>
      </c>
      <c r="G15" s="36">
        <v>20</v>
      </c>
      <c r="H15" s="37">
        <f>IF(F15="","",SUMIF(Clases!$G$6:$G$65,F15,Clases!$J$6:$J$65)/60)</f>
        <v>8.1666666666666661</v>
      </c>
    </row>
    <row r="16" spans="2:8" x14ac:dyDescent="0.2">
      <c r="E16" s="29">
        <v>3</v>
      </c>
      <c r="F16" s="30" t="s">
        <v>61</v>
      </c>
      <c r="G16" s="36">
        <v>17</v>
      </c>
      <c r="H16" s="37">
        <f>IF(F16="","",SUMIF(Clases!$G$6:$G$65,F16,Clases!$J$6:$J$65)/60)</f>
        <v>5.25</v>
      </c>
    </row>
    <row r="17" spans="2:8" ht="22" customHeight="1" x14ac:dyDescent="0.2">
      <c r="B17" s="24" t="s">
        <v>62</v>
      </c>
      <c r="C17" s="24"/>
      <c r="E17" s="29">
        <v>4</v>
      </c>
      <c r="F17" s="30" t="s">
        <v>63</v>
      </c>
      <c r="G17" s="36">
        <v>16</v>
      </c>
      <c r="H17" s="37">
        <f>IF(F17="","",SUMIF(Clases!$G$6:$G$65,F17,Clases!$J$6:$J$65)/60)</f>
        <v>6.75</v>
      </c>
    </row>
    <row r="18" spans="2:8" ht="20" customHeight="1" x14ac:dyDescent="0.2">
      <c r="B18" s="27" t="s">
        <v>64</v>
      </c>
      <c r="C18" s="40">
        <v>0.4</v>
      </c>
      <c r="E18" s="29">
        <v>5</v>
      </c>
      <c r="F18" s="30" t="s">
        <v>65</v>
      </c>
      <c r="G18" s="36">
        <v>22</v>
      </c>
      <c r="H18" s="37">
        <f>IF(F18="","",SUMIF(Clases!$G$6:$G$65,F18,Clases!$J$6:$J$65)/60)</f>
        <v>6.416666666666667</v>
      </c>
    </row>
    <row r="19" spans="2:8" ht="20" customHeight="1" x14ac:dyDescent="0.2">
      <c r="B19" s="27" t="s">
        <v>66</v>
      </c>
      <c r="C19" s="40">
        <v>0.65</v>
      </c>
      <c r="E19" s="29">
        <v>6</v>
      </c>
      <c r="F19" s="30"/>
      <c r="G19" s="36"/>
      <c r="H19" s="37" t="str">
        <f>IF(F19="","",SUMIF(Clases!$G$6:$G$65,F19,Clases!$J$6:$J$65)/60)</f>
        <v/>
      </c>
    </row>
    <row r="20" spans="2:8" ht="20" customHeight="1" x14ac:dyDescent="0.2">
      <c r="B20" s="27" t="s">
        <v>67</v>
      </c>
      <c r="C20" s="40">
        <v>0.9</v>
      </c>
      <c r="E20" s="29">
        <v>7</v>
      </c>
      <c r="F20" s="30"/>
      <c r="G20" s="36"/>
      <c r="H20" s="37" t="str">
        <f>IF(F20="","",SUMIF(Clases!$G$6:$G$65,F20,Clases!$J$6:$J$65)/60)</f>
        <v/>
      </c>
    </row>
    <row r="21" spans="2:8" ht="20" customHeight="1" x14ac:dyDescent="0.2">
      <c r="B21" s="27" t="s">
        <v>68</v>
      </c>
      <c r="C21" s="40">
        <v>-0.15</v>
      </c>
      <c r="E21" s="29">
        <v>8</v>
      </c>
      <c r="F21" s="30"/>
      <c r="G21" s="36"/>
      <c r="H21" s="37" t="str">
        <f>IF(F21="","",SUMIF(Clases!$G$6:$G$65,F21,Clases!$J$6:$J$65)/60)</f>
        <v/>
      </c>
    </row>
    <row r="22" spans="2:8" x14ac:dyDescent="0.2">
      <c r="E22" s="29">
        <v>9</v>
      </c>
      <c r="F22" s="30"/>
      <c r="G22" s="36"/>
      <c r="H22" s="37" t="str">
        <f>IF(F22="","",SUMIF(Clases!$G$6:$G$65,F22,Clases!$J$6:$J$65)/60)</f>
        <v/>
      </c>
    </row>
    <row r="23" spans="2:8" ht="22" customHeight="1" x14ac:dyDescent="0.2">
      <c r="B23" s="24" t="s">
        <v>69</v>
      </c>
      <c r="C23" s="24" t="s">
        <v>70</v>
      </c>
      <c r="E23" s="29">
        <v>10</v>
      </c>
      <c r="F23" s="30"/>
      <c r="G23" s="36"/>
      <c r="H23" s="37" t="str">
        <f>IF(F23="","",SUMIF(Clases!$G$6:$G$65,F23,Clases!$J$6:$J$65)/60)</f>
        <v/>
      </c>
    </row>
    <row r="24" spans="2:8" ht="18" customHeight="1" x14ac:dyDescent="0.2">
      <c r="B24" s="30" t="s">
        <v>71</v>
      </c>
      <c r="C24" s="41">
        <v>0.25</v>
      </c>
    </row>
    <row r="25" spans="2:8" ht="22" customHeight="1" x14ac:dyDescent="0.2">
      <c r="B25" s="30" t="s">
        <v>72</v>
      </c>
      <c r="C25" s="41">
        <v>0.375</v>
      </c>
      <c r="E25" s="25" t="s">
        <v>73</v>
      </c>
      <c r="F25" s="26" t="s">
        <v>74</v>
      </c>
      <c r="G25" s="25" t="s">
        <v>75</v>
      </c>
      <c r="H25" s="25" t="s">
        <v>42</v>
      </c>
    </row>
    <row r="26" spans="2:8" ht="18" customHeight="1" x14ac:dyDescent="0.2">
      <c r="B26" s="30" t="s">
        <v>76</v>
      </c>
      <c r="C26" s="41">
        <v>0.5</v>
      </c>
      <c r="E26" s="42">
        <v>1</v>
      </c>
      <c r="F26" s="30" t="s">
        <v>77</v>
      </c>
      <c r="G26" s="31">
        <v>60</v>
      </c>
      <c r="H26" s="32">
        <f>IF(F26="","",COUNTIF(Clases!$E$6:$E$65,F26))</f>
        <v>12</v>
      </c>
    </row>
    <row r="27" spans="2:8" ht="18" customHeight="1" x14ac:dyDescent="0.2">
      <c r="B27" s="30" t="s">
        <v>78</v>
      </c>
      <c r="C27" s="41">
        <v>0.66666666666666663</v>
      </c>
      <c r="E27" s="43">
        <v>2</v>
      </c>
      <c r="F27" s="30" t="s">
        <v>79</v>
      </c>
      <c r="G27" s="31">
        <v>45</v>
      </c>
      <c r="H27" s="32">
        <f>IF(F27="","",COUNTIF(Clases!$E$6:$E$65,F27))</f>
        <v>2</v>
      </c>
    </row>
    <row r="28" spans="2:8" ht="18" customHeight="1" x14ac:dyDescent="0.2">
      <c r="B28" s="30" t="s">
        <v>80</v>
      </c>
      <c r="C28" s="41">
        <v>0.79166666666666663</v>
      </c>
      <c r="E28" s="44">
        <v>3</v>
      </c>
      <c r="F28" s="30" t="s">
        <v>81</v>
      </c>
      <c r="G28" s="31">
        <v>55</v>
      </c>
      <c r="H28" s="32">
        <f>IF(F28="","",COUNTIF(Clases!$E$6:$E$65,F28))</f>
        <v>7</v>
      </c>
    </row>
    <row r="29" spans="2:8" ht="18" customHeight="1" x14ac:dyDescent="0.2">
      <c r="B29" s="30" t="s">
        <v>82</v>
      </c>
      <c r="C29" s="41">
        <v>0.875</v>
      </c>
      <c r="E29" s="45">
        <v>4</v>
      </c>
      <c r="F29" s="30" t="s">
        <v>83</v>
      </c>
      <c r="G29" s="31">
        <v>60</v>
      </c>
      <c r="H29" s="32">
        <f>IF(F29="","",COUNTIF(Clases!$E$6:$E$65,F29))</f>
        <v>3</v>
      </c>
    </row>
    <row r="30" spans="2:8" x14ac:dyDescent="0.2">
      <c r="B30" s="46" t="s">
        <v>84</v>
      </c>
      <c r="E30" s="47">
        <v>5</v>
      </c>
      <c r="F30" s="30" t="s">
        <v>85</v>
      </c>
      <c r="G30" s="31">
        <v>45</v>
      </c>
      <c r="H30" s="32">
        <f>IF(F30="","",COUNTIF(Clases!$E$6:$E$65,F30))</f>
        <v>3</v>
      </c>
    </row>
    <row r="31" spans="2:8" x14ac:dyDescent="0.2">
      <c r="E31" s="48">
        <v>6</v>
      </c>
      <c r="F31" s="30" t="s">
        <v>86</v>
      </c>
      <c r="G31" s="31">
        <v>45</v>
      </c>
      <c r="H31" s="32">
        <f>IF(F31="","",COUNTIF(Clases!$E$6:$E$65,F31))</f>
        <v>3</v>
      </c>
    </row>
    <row r="32" spans="2:8" x14ac:dyDescent="0.2">
      <c r="E32" s="49">
        <v>7</v>
      </c>
      <c r="F32" s="30" t="s">
        <v>87</v>
      </c>
      <c r="G32" s="31">
        <v>90</v>
      </c>
      <c r="H32" s="32">
        <f>IF(F32="","",COUNTIF(Clases!$E$6:$E$65,F32))</f>
        <v>1</v>
      </c>
    </row>
    <row r="33" spans="5:8" x14ac:dyDescent="0.2">
      <c r="E33" s="50">
        <v>8</v>
      </c>
      <c r="F33" s="30" t="s">
        <v>88</v>
      </c>
      <c r="G33" s="31">
        <v>60</v>
      </c>
      <c r="H33" s="32">
        <f>IF(F33="","",COUNTIF(Clases!$E$6:$E$65,F33))</f>
        <v>2</v>
      </c>
    </row>
    <row r="34" spans="5:8" x14ac:dyDescent="0.2">
      <c r="E34" s="51">
        <v>9</v>
      </c>
      <c r="F34" s="30" t="s">
        <v>89</v>
      </c>
      <c r="G34" s="31">
        <v>30</v>
      </c>
      <c r="H34" s="32">
        <f>IF(F34="","",COUNTIF(Clases!$E$6:$E$65,F34))</f>
        <v>2</v>
      </c>
    </row>
    <row r="35" spans="5:8" x14ac:dyDescent="0.2">
      <c r="E35" s="52">
        <v>10</v>
      </c>
      <c r="F35" s="30" t="s">
        <v>90</v>
      </c>
      <c r="G35" s="31">
        <v>50</v>
      </c>
      <c r="H35" s="32">
        <f>IF(F35="","",COUNTIF(Clases!$E$6:$E$65,F35))</f>
        <v>2</v>
      </c>
    </row>
    <row r="36" spans="5:8" x14ac:dyDescent="0.2">
      <c r="E36" s="53">
        <v>11</v>
      </c>
      <c r="F36" s="30"/>
      <c r="G36" s="31"/>
      <c r="H36" s="32" t="str">
        <f>IF(F36="","",COUNTIF(Clases!$E$6:$E$65,F36))</f>
        <v/>
      </c>
    </row>
    <row r="37" spans="5:8" x14ac:dyDescent="0.2">
      <c r="E37" s="54">
        <v>12</v>
      </c>
      <c r="F37" s="30"/>
      <c r="G37" s="31"/>
      <c r="H37" s="32" t="str">
        <f>IF(F37="","",COUNTIF(Clases!$E$6:$E$65,F37))</f>
        <v/>
      </c>
    </row>
  </sheetData>
  <dataValidations count="7">
    <dataValidation type="whole" allowBlank="1" showErrorMessage="1" errorTitle="Aforo" error="Escribe un número de plazas entre 1 y 500." sqref="G6:G11" xr:uid="{00000000-0002-0000-0100-000000000000}">
      <formula1>1</formula1>
      <formula2>500</formula2>
    </dataValidation>
    <dataValidation type="decimal" allowBlank="1" showErrorMessage="1" errorTitle="Coste por hora" error="Escribe un importe en euros (por ejemplo 18)." sqref="G14:G23" xr:uid="{00000000-0002-0000-0100-000001000000}">
      <formula1>0</formula1>
      <formula2>500</formula2>
    </dataValidation>
    <dataValidation type="whole" allowBlank="1" showErrorMessage="1" errorTitle="Duración" error="Escribe la duración en minutos, entre 5 y 240." sqref="G26:G37" xr:uid="{00000000-0002-0000-0100-000002000000}">
      <formula1>5</formula1>
      <formula2>240</formula2>
    </dataValidation>
    <dataValidation type="custom" showErrorMessage="1" errorTitle="Lunes de la semana 1" error="Tiene que ser un lunes (dd/mm/aaaa)." sqref="C9" xr:uid="{00000000-0002-0000-0100-000003000000}">
      <formula1>WEEKDAY(C9,2)=1</formula1>
    </dataValidation>
    <dataValidation type="decimal" showErrorMessage="1" errorTitle="Umbral" error="Escribe un porcentaje, por ejemplo 40 %." sqref="C18:C20" xr:uid="{00000000-0002-0000-0100-000004000000}">
      <formula1>0</formula1>
      <formula2>1.5</formula2>
    </dataValidation>
    <dataValidation type="decimal" showErrorMessage="1" errorTitle="Aviso de caída" error="Escribe un porcentaje negativo, por ejemplo -15 %." sqref="C21" xr:uid="{00000000-0002-0000-0100-000005000000}">
      <formula1>-1</formula1>
      <formula2>0</formula2>
    </dataValidation>
    <dataValidation type="time" allowBlank="1" showErrorMessage="1" errorTitle="Hora" error="Escribe la hora así: 16:00." sqref="C24:C29" xr:uid="{00000000-0002-0000-0100-000006000000}">
      <formula1>0</formula1>
      <formula2>0.999</formula2>
    </dataValidation>
  </dataValidations>
  <printOptions horizontalCentered="1"/>
  <pageMargins left="0.4" right="0.4" top="0.45" bottom="0.55000000000000004" header="0.2" footer="0.25"/>
  <pageSetup paperSize="9" fitToHeight="0" orientation="portrait"/>
  <headerFooter>
    <oddFooter>&amp;L&amp;"Arial,Regular"&amp;7 &amp;K5C697D&amp;A&amp;C&amp;"Arial,Regular"&amp;7 &amp;K5C697DPlantilla gratuita de GymGym · gymgym.es/recursos&amp;R&amp;"Arial,Regular"&amp;7 &amp;K5C697DPágina &amp;P de &amp;N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DD6C1"/>
    <pageSetUpPr fitToPage="1"/>
  </sheetPr>
  <dimension ref="B1:U65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.5" customWidth="1"/>
    <col min="2" max="2" width="6" customWidth="1"/>
    <col min="3" max="3" width="12" customWidth="1"/>
    <col min="4" max="4" width="9" customWidth="1"/>
    <col min="5" max="5" width="19" customWidth="1"/>
    <col min="6" max="7" width="13" customWidth="1"/>
    <col min="8" max="8" width="10" customWidth="1"/>
    <col min="9" max="9" width="9" customWidth="1"/>
    <col min="10" max="10" width="10" customWidth="1"/>
    <col min="11" max="11" width="9" customWidth="1"/>
    <col min="12" max="12" width="13" customWidth="1"/>
    <col min="13" max="13" width="11" customWidth="1"/>
    <col min="14" max="14" width="36" customWidth="1"/>
    <col min="15" max="21" width="13" hidden="1" customWidth="1"/>
  </cols>
  <sheetData>
    <row r="1" spans="2:21" ht="30" customHeight="1" x14ac:dyDescent="0.25">
      <c r="B1" s="22" t="s">
        <v>91</v>
      </c>
    </row>
    <row r="2" spans="2:21" ht="18" customHeight="1" x14ac:dyDescent="0.2">
      <c r="B2" s="23" t="s">
        <v>92</v>
      </c>
    </row>
    <row r="3" spans="2:21" ht="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21" x14ac:dyDescent="0.2">
      <c r="O4" t="s">
        <v>93</v>
      </c>
      <c r="U4" s="55">
        <f>IFERROR(MAX(B6:B65),0)</f>
        <v>37</v>
      </c>
    </row>
    <row r="5" spans="2:21" ht="36" customHeight="1" x14ac:dyDescent="0.2">
      <c r="B5" s="56" t="s">
        <v>94</v>
      </c>
      <c r="C5" s="56" t="s">
        <v>95</v>
      </c>
      <c r="D5" s="56" t="s">
        <v>96</v>
      </c>
      <c r="E5" s="56" t="s">
        <v>74</v>
      </c>
      <c r="F5" s="56" t="s">
        <v>40</v>
      </c>
      <c r="G5" s="56" t="s">
        <v>55</v>
      </c>
      <c r="H5" s="56" t="s">
        <v>97</v>
      </c>
      <c r="I5" s="56" t="s">
        <v>98</v>
      </c>
      <c r="J5" s="56" t="s">
        <v>75</v>
      </c>
      <c r="K5" s="56" t="s">
        <v>99</v>
      </c>
      <c r="L5" s="56" t="s">
        <v>100</v>
      </c>
      <c r="M5" s="56" t="s">
        <v>101</v>
      </c>
      <c r="N5" s="56" t="s">
        <v>102</v>
      </c>
      <c r="O5" t="s">
        <v>103</v>
      </c>
      <c r="P5" t="s">
        <v>104</v>
      </c>
      <c r="Q5" t="s">
        <v>105</v>
      </c>
      <c r="R5" t="s">
        <v>106</v>
      </c>
      <c r="S5" t="s">
        <v>107</v>
      </c>
      <c r="T5" t="s">
        <v>108</v>
      </c>
      <c r="U5" t="s">
        <v>109</v>
      </c>
    </row>
    <row r="6" spans="2:21" ht="18" customHeight="1" x14ac:dyDescent="0.2">
      <c r="B6" s="57">
        <f t="shared" ref="B6:B37" si="0">IF(E6="","",ROW()-5)</f>
        <v>1</v>
      </c>
      <c r="C6" s="30" t="s">
        <v>110</v>
      </c>
      <c r="D6" s="58">
        <v>0.29166666666666669</v>
      </c>
      <c r="E6" s="30" t="s">
        <v>77</v>
      </c>
      <c r="F6" s="30" t="s">
        <v>45</v>
      </c>
      <c r="G6" s="30" t="s">
        <v>59</v>
      </c>
      <c r="H6" s="31"/>
      <c r="I6" s="32">
        <f>IF(E6="","",IF(H6&lt;&gt;"",H6,IFERROR(INDEX(Configuración!$G$6:$G$11,R6),"")))</f>
        <v>16</v>
      </c>
      <c r="J6" s="32">
        <f>IF(OR(E6="",U6=""),"",IF(INDEX(Configuración!$G$26:$G$37,U6)="","",INDEX(Configuración!$G$26:$G$37,U6)))</f>
        <v>60</v>
      </c>
      <c r="K6" s="59">
        <f t="shared" ref="K6:K37" si="1">IF(OR(D6="",J6=""),"",D6+J6/1440)</f>
        <v>0.33333333333333337</v>
      </c>
      <c r="L6" s="60" t="str">
        <f>IF(D6="","",IFERROR(INDEX(Configuración!$B$24:$B$29,MATCH(D6,Configuración!$C$24:$C$29,1)),""))</f>
        <v>Primera hora</v>
      </c>
      <c r="M6" s="61">
        <f>IF(OR(G6="",J6=""),"",IFERROR(INDEX(Configuración!$G$14:$G$23,MATCH(G6,Configuración!$F$14:$F$23,0))*J6/60,""))</f>
        <v>18</v>
      </c>
      <c r="N6" s="62" t="str">
        <f>IF(COUNTA(C6:H6)=0,"",IF(C6="","Falta el día",IF(D6="","Falta la hora",IF(E6="","Falta la actividad",IF(F6="","Falta la sala",IF(U6="","Esta actividad no está en «Configuración»",IF(R6="","Esta sala no está en «Configuración»",IF(O6="","Elige el día en la lista",IF(P6="","Escribe la hora así: 19:00",IF(COUNTIFS($O$6:$O$65,O6,$R$6:$R$65,R6,$P$6:$P$65,"&lt;"&amp;Q6,$Q$6:$Q$65,"&gt;"&amp;P6)&gt;1,"Se solapa con otra clase en la misma sala",IF(AND(G6&lt;&gt;"",COUNTIFS($O$6:$O$65,O6,$G$6:$G$65,G6,$P$6:$P$65,"&lt;"&amp;Q6,$Q$6:$Q$65,"&gt;"&amp;P6)&gt;1),"El monitor tiene otra clase a la vez",IF(AND(G6&lt;&gt;"",ISNA(MATCH(G6,Configuración!$F$14:$F$23,0))),"Este monitor no está en «Configuración»",IF(AND(H6&lt;&gt;"",N(INDEX(Configuración!$G$6:$G$11,R6))&gt;0,N(H6)&gt;N(INDEX(Configuración!$G$6:$G$11,R6))),"Más plazas que el aforo de la sala","")))))))))))))</f>
        <v/>
      </c>
      <c r="O6">
        <f>IF(C6="","",IFERROR(MATCH(C6,{"Lunes","Martes","Miércoles","Jueves","Viernes","Sábado","Domingo"},0),""))</f>
        <v>1</v>
      </c>
      <c r="P6">
        <f t="shared" ref="P6:P37" si="2">IF(D6="","",IFERROR(ROUND(D6*1440,0),""))</f>
        <v>420</v>
      </c>
      <c r="Q6">
        <f t="shared" ref="Q6:Q37" si="3">IF(OR(P6="",J6=""),"",P6+J6)</f>
        <v>480</v>
      </c>
      <c r="R6">
        <f>IF(F6="","",IFERROR(MATCH(F6,Configuración!$F$6:$F$11,0),""))</f>
        <v>1</v>
      </c>
      <c r="S6">
        <f t="shared" ref="S6:S37" si="4">IF(OR(O6="",P6="",R6="",E6=""),"",P6*10+R6)</f>
        <v>4201</v>
      </c>
      <c r="T6">
        <f t="shared" ref="T6:T37" si="5">IF(S6="","",O6*100000+S6)</f>
        <v>104201</v>
      </c>
      <c r="U6">
        <f>IF(E6="","",IFERROR(MATCH(E6,Configuración!$F$26:$F$37,0),""))</f>
        <v>1</v>
      </c>
    </row>
    <row r="7" spans="2:21" ht="18" customHeight="1" x14ac:dyDescent="0.2">
      <c r="B7" s="57">
        <f t="shared" si="0"/>
        <v>2</v>
      </c>
      <c r="C7" s="30" t="s">
        <v>110</v>
      </c>
      <c r="D7" s="58">
        <v>0.375</v>
      </c>
      <c r="E7" s="30" t="s">
        <v>81</v>
      </c>
      <c r="F7" s="30" t="s">
        <v>48</v>
      </c>
      <c r="G7" s="30" t="s">
        <v>65</v>
      </c>
      <c r="H7" s="31"/>
      <c r="I7" s="32">
        <f>IF(E7="","",IF(H7&lt;&gt;"",H7,IFERROR(INDEX(Configuración!$G$6:$G$11,R7),"")))</f>
        <v>12</v>
      </c>
      <c r="J7" s="32">
        <f>IF(OR(E7="",U7=""),"",IF(INDEX(Configuración!$G$26:$G$37,U7)="","",INDEX(Configuración!$G$26:$G$37,U7)))</f>
        <v>55</v>
      </c>
      <c r="K7" s="59">
        <f t="shared" si="1"/>
        <v>0.41319444444444442</v>
      </c>
      <c r="L7" s="60" t="str">
        <f>IF(D7="","",IFERROR(INDEX(Configuración!$B$24:$B$29,MATCH(D7,Configuración!$C$24:$C$29,1)),""))</f>
        <v>Mañana</v>
      </c>
      <c r="M7" s="61">
        <f>IF(OR(G7="",J7=""),"",IFERROR(INDEX(Configuración!$G$14:$G$23,MATCH(G7,Configuración!$F$14:$F$23,0))*J7/60,""))</f>
        <v>20.166666666666668</v>
      </c>
      <c r="N7" s="62" t="str">
        <f>IF(COUNTA(C7:H7)=0,"",IF(C7="","Falta el día",IF(D7="","Falta la hora",IF(E7="","Falta la actividad",IF(F7="","Falta la sala",IF(U7="","Esta actividad no está en «Configuración»",IF(R7="","Esta sala no está en «Configuración»",IF(O7="","Elige el día en la lista",IF(P7="","Escribe la hora así: 19:00",IF(COUNTIFS($O$6:$O$65,O7,$R$6:$R$65,R7,$P$6:$P$65,"&lt;"&amp;Q7,$Q$6:$Q$65,"&gt;"&amp;P7)&gt;1,"Se solapa con otra clase en la misma sala",IF(AND(G7&lt;&gt;"",COUNTIFS($O$6:$O$65,O7,$G$6:$G$65,G7,$P$6:$P$65,"&lt;"&amp;Q7,$Q$6:$Q$65,"&gt;"&amp;P7)&gt;1),"El monitor tiene otra clase a la vez",IF(AND(G7&lt;&gt;"",ISNA(MATCH(G7,Configuración!$F$14:$F$23,0))),"Este monitor no está en «Configuración»",IF(AND(H7&lt;&gt;"",N(INDEX(Configuración!$G$6:$G$11,R7))&gt;0,N(H7)&gt;N(INDEX(Configuración!$G$6:$G$11,R7))),"Más plazas que el aforo de la sala","")))))))))))))</f>
        <v/>
      </c>
      <c r="O7">
        <f>IF(C7="","",IFERROR(MATCH(C7,{"Lunes","Martes","Miércoles","Jueves","Viernes","Sábado","Domingo"},0),""))</f>
        <v>1</v>
      </c>
      <c r="P7">
        <f t="shared" si="2"/>
        <v>540</v>
      </c>
      <c r="Q7">
        <f t="shared" si="3"/>
        <v>595</v>
      </c>
      <c r="R7">
        <f>IF(F7="","",IFERROR(MATCH(F7,Configuración!$F$6:$F$11,0),""))</f>
        <v>2</v>
      </c>
      <c r="S7">
        <f t="shared" si="4"/>
        <v>5402</v>
      </c>
      <c r="T7">
        <f t="shared" si="5"/>
        <v>105402</v>
      </c>
      <c r="U7">
        <f>IF(E7="","",IFERROR(MATCH(E7,Configuración!$F$26:$F$37,0),""))</f>
        <v>3</v>
      </c>
    </row>
    <row r="8" spans="2:21" ht="18" customHeight="1" x14ac:dyDescent="0.2">
      <c r="B8" s="57">
        <f t="shared" si="0"/>
        <v>3</v>
      </c>
      <c r="C8" s="30" t="s">
        <v>110</v>
      </c>
      <c r="D8" s="58">
        <v>0.58333333333333337</v>
      </c>
      <c r="E8" s="30" t="s">
        <v>79</v>
      </c>
      <c r="F8" s="30" t="s">
        <v>45</v>
      </c>
      <c r="G8" s="30" t="s">
        <v>63</v>
      </c>
      <c r="H8" s="31"/>
      <c r="I8" s="32">
        <f>IF(E8="","",IF(H8&lt;&gt;"",H8,IFERROR(INDEX(Configuración!$G$6:$G$11,R8),"")))</f>
        <v>16</v>
      </c>
      <c r="J8" s="32">
        <f>IF(OR(E8="",U8=""),"",IF(INDEX(Configuración!$G$26:$G$37,U8)="","",INDEX(Configuración!$G$26:$G$37,U8)))</f>
        <v>45</v>
      </c>
      <c r="K8" s="59">
        <f t="shared" si="1"/>
        <v>0.61458333333333337</v>
      </c>
      <c r="L8" s="60" t="str">
        <f>IF(D8="","",IFERROR(INDEX(Configuración!$B$24:$B$29,MATCH(D8,Configuración!$C$24:$C$29,1)),""))</f>
        <v>Mediodía</v>
      </c>
      <c r="M8" s="61">
        <f>IF(OR(G8="",J8=""),"",IFERROR(INDEX(Configuración!$G$14:$G$23,MATCH(G8,Configuración!$F$14:$F$23,0))*J8/60,""))</f>
        <v>12</v>
      </c>
      <c r="N8" s="62" t="str">
        <f>IF(COUNTA(C8:H8)=0,"",IF(C8="","Falta el día",IF(D8="","Falta la hora",IF(E8="","Falta la actividad",IF(F8="","Falta la sala",IF(U8="","Esta actividad no está en «Configuración»",IF(R8="","Esta sala no está en «Configuración»",IF(O8="","Elige el día en la lista",IF(P8="","Escribe la hora así: 19:00",IF(COUNTIFS($O$6:$O$65,O8,$R$6:$R$65,R8,$P$6:$P$65,"&lt;"&amp;Q8,$Q$6:$Q$65,"&gt;"&amp;P8)&gt;1,"Se solapa con otra clase en la misma sala",IF(AND(G8&lt;&gt;"",COUNTIFS($O$6:$O$65,O8,$G$6:$G$65,G8,$P$6:$P$65,"&lt;"&amp;Q8,$Q$6:$Q$65,"&gt;"&amp;P8)&gt;1),"El monitor tiene otra clase a la vez",IF(AND(G8&lt;&gt;"",ISNA(MATCH(G8,Configuración!$F$14:$F$23,0))),"Este monitor no está en «Configuración»",IF(AND(H8&lt;&gt;"",N(INDEX(Configuración!$G$6:$G$11,R8))&gt;0,N(H8)&gt;N(INDEX(Configuración!$G$6:$G$11,R8))),"Más plazas que el aforo de la sala","")))))))))))))</f>
        <v/>
      </c>
      <c r="O8">
        <f>IF(C8="","",IFERROR(MATCH(C8,{"Lunes","Martes","Miércoles","Jueves","Viernes","Sábado","Domingo"},0),""))</f>
        <v>1</v>
      </c>
      <c r="P8">
        <f t="shared" si="2"/>
        <v>840</v>
      </c>
      <c r="Q8">
        <f t="shared" si="3"/>
        <v>885</v>
      </c>
      <c r="R8">
        <f>IF(F8="","",IFERROR(MATCH(F8,Configuración!$F$6:$F$11,0),""))</f>
        <v>1</v>
      </c>
      <c r="S8">
        <f t="shared" si="4"/>
        <v>8401</v>
      </c>
      <c r="T8">
        <f t="shared" si="5"/>
        <v>108401</v>
      </c>
      <c r="U8">
        <f>IF(E8="","",IFERROR(MATCH(E8,Configuración!$F$26:$F$37,0),""))</f>
        <v>2</v>
      </c>
    </row>
    <row r="9" spans="2:21" ht="18" customHeight="1" x14ac:dyDescent="0.2">
      <c r="B9" s="57">
        <f t="shared" si="0"/>
        <v>4</v>
      </c>
      <c r="C9" s="30" t="s">
        <v>110</v>
      </c>
      <c r="D9" s="58">
        <v>0.75</v>
      </c>
      <c r="E9" s="30" t="s">
        <v>81</v>
      </c>
      <c r="F9" s="30" t="s">
        <v>48</v>
      </c>
      <c r="G9" s="30" t="s">
        <v>65</v>
      </c>
      <c r="H9" s="31"/>
      <c r="I9" s="32">
        <f>IF(E9="","",IF(H9&lt;&gt;"",H9,IFERROR(INDEX(Configuración!$G$6:$G$11,R9),"")))</f>
        <v>12</v>
      </c>
      <c r="J9" s="32">
        <f>IF(OR(E9="",U9=""),"",IF(INDEX(Configuración!$G$26:$G$37,U9)="","",INDEX(Configuración!$G$26:$G$37,U9)))</f>
        <v>55</v>
      </c>
      <c r="K9" s="59">
        <f t="shared" si="1"/>
        <v>0.78819444444444442</v>
      </c>
      <c r="L9" s="60" t="str">
        <f>IF(D9="","",IFERROR(INDEX(Configuración!$B$24:$B$29,MATCH(D9,Configuración!$C$24:$C$29,1)),""))</f>
        <v>Tarde</v>
      </c>
      <c r="M9" s="61">
        <f>IF(OR(G9="",J9=""),"",IFERROR(INDEX(Configuración!$G$14:$G$23,MATCH(G9,Configuración!$F$14:$F$23,0))*J9/60,""))</f>
        <v>20.166666666666668</v>
      </c>
      <c r="N9" s="62" t="str">
        <f>IF(COUNTA(C9:H9)=0,"",IF(C9="","Falta el día",IF(D9="","Falta la hora",IF(E9="","Falta la actividad",IF(F9="","Falta la sala",IF(U9="","Esta actividad no está en «Configuración»",IF(R9="","Esta sala no está en «Configuración»",IF(O9="","Elige el día en la lista",IF(P9="","Escribe la hora así: 19:00",IF(COUNTIFS($O$6:$O$65,O9,$R$6:$R$65,R9,$P$6:$P$65,"&lt;"&amp;Q9,$Q$6:$Q$65,"&gt;"&amp;P9)&gt;1,"Se solapa con otra clase en la misma sala",IF(AND(G9&lt;&gt;"",COUNTIFS($O$6:$O$65,O9,$G$6:$G$65,G9,$P$6:$P$65,"&lt;"&amp;Q9,$Q$6:$Q$65,"&gt;"&amp;P9)&gt;1),"El monitor tiene otra clase a la vez",IF(AND(G9&lt;&gt;"",ISNA(MATCH(G9,Configuración!$F$14:$F$23,0))),"Este monitor no está en «Configuración»",IF(AND(H9&lt;&gt;"",N(INDEX(Configuración!$G$6:$G$11,R9))&gt;0,N(H9)&gt;N(INDEX(Configuración!$G$6:$G$11,R9))),"Más plazas que el aforo de la sala","")))))))))))))</f>
        <v/>
      </c>
      <c r="O9">
        <f>IF(C9="","",IFERROR(MATCH(C9,{"Lunes","Martes","Miércoles","Jueves","Viernes","Sábado","Domingo"},0),""))</f>
        <v>1</v>
      </c>
      <c r="P9">
        <f t="shared" si="2"/>
        <v>1080</v>
      </c>
      <c r="Q9">
        <f t="shared" si="3"/>
        <v>1135</v>
      </c>
      <c r="R9">
        <f>IF(F9="","",IFERROR(MATCH(F9,Configuración!$F$6:$F$11,0),""))</f>
        <v>2</v>
      </c>
      <c r="S9">
        <f t="shared" si="4"/>
        <v>10802</v>
      </c>
      <c r="T9">
        <f t="shared" si="5"/>
        <v>110802</v>
      </c>
      <c r="U9">
        <f>IF(E9="","",IFERROR(MATCH(E9,Configuración!$F$26:$F$37,0),""))</f>
        <v>3</v>
      </c>
    </row>
    <row r="10" spans="2:21" ht="18" customHeight="1" x14ac:dyDescent="0.2">
      <c r="B10" s="57">
        <f t="shared" si="0"/>
        <v>5</v>
      </c>
      <c r="C10" s="30" t="s">
        <v>110</v>
      </c>
      <c r="D10" s="58">
        <v>0.79166666666666663</v>
      </c>
      <c r="E10" s="30" t="s">
        <v>77</v>
      </c>
      <c r="F10" s="30" t="s">
        <v>45</v>
      </c>
      <c r="G10" s="30" t="s">
        <v>60</v>
      </c>
      <c r="H10" s="31"/>
      <c r="I10" s="32">
        <f>IF(E10="","",IF(H10&lt;&gt;"",H10,IFERROR(INDEX(Configuración!$G$6:$G$11,R10),"")))</f>
        <v>16</v>
      </c>
      <c r="J10" s="32">
        <f>IF(OR(E10="",U10=""),"",IF(INDEX(Configuración!$G$26:$G$37,U10)="","",INDEX(Configuración!$G$26:$G$37,U10)))</f>
        <v>60</v>
      </c>
      <c r="K10" s="59">
        <f t="shared" si="1"/>
        <v>0.83333333333333326</v>
      </c>
      <c r="L10" s="60" t="str">
        <f>IF(D10="","",IFERROR(INDEX(Configuración!$B$24:$B$29,MATCH(D10,Configuración!$C$24:$C$29,1)),""))</f>
        <v>Tarde-noche</v>
      </c>
      <c r="M10" s="61">
        <f>IF(OR(G10="",J10=""),"",IFERROR(INDEX(Configuración!$G$14:$G$23,MATCH(G10,Configuración!$F$14:$F$23,0))*J10/60,""))</f>
        <v>20</v>
      </c>
      <c r="N10" s="62" t="str">
        <f>IF(COUNTA(C10:H10)=0,"",IF(C10="","Falta el día",IF(D10="","Falta la hora",IF(E10="","Falta la actividad",IF(F10="","Falta la sala",IF(U10="","Esta actividad no está en «Configuración»",IF(R10="","Esta sala no está en «Configuración»",IF(O10="","Elige el día en la lista",IF(P10="","Escribe la hora así: 19:00",IF(COUNTIFS($O$6:$O$65,O10,$R$6:$R$65,R10,$P$6:$P$65,"&lt;"&amp;Q10,$Q$6:$Q$65,"&gt;"&amp;P10)&gt;1,"Se solapa con otra clase en la misma sala",IF(AND(G10&lt;&gt;"",COUNTIFS($O$6:$O$65,O10,$G$6:$G$65,G10,$P$6:$P$65,"&lt;"&amp;Q10,$Q$6:$Q$65,"&gt;"&amp;P10)&gt;1),"El monitor tiene otra clase a la vez",IF(AND(G10&lt;&gt;"",ISNA(MATCH(G10,Configuración!$F$14:$F$23,0))),"Este monitor no está en «Configuración»",IF(AND(H10&lt;&gt;"",N(INDEX(Configuración!$G$6:$G$11,R10))&gt;0,N(H10)&gt;N(INDEX(Configuración!$G$6:$G$11,R10))),"Más plazas que el aforo de la sala","")))))))))))))</f>
        <v/>
      </c>
      <c r="O10">
        <f>IF(C10="","",IFERROR(MATCH(C10,{"Lunes","Martes","Miércoles","Jueves","Viernes","Sábado","Domingo"},0),""))</f>
        <v>1</v>
      </c>
      <c r="P10">
        <f t="shared" si="2"/>
        <v>1140</v>
      </c>
      <c r="Q10">
        <f t="shared" si="3"/>
        <v>1200</v>
      </c>
      <c r="R10">
        <f>IF(F10="","",IFERROR(MATCH(F10,Configuración!$F$6:$F$11,0),""))</f>
        <v>1</v>
      </c>
      <c r="S10">
        <f t="shared" si="4"/>
        <v>11401</v>
      </c>
      <c r="T10">
        <f t="shared" si="5"/>
        <v>111401</v>
      </c>
      <c r="U10">
        <f>IF(E10="","",IFERROR(MATCH(E10,Configuración!$F$26:$F$37,0),""))</f>
        <v>1</v>
      </c>
    </row>
    <row r="11" spans="2:21" ht="18" customHeight="1" x14ac:dyDescent="0.2">
      <c r="B11" s="57">
        <f t="shared" si="0"/>
        <v>6</v>
      </c>
      <c r="C11" s="30" t="s">
        <v>110</v>
      </c>
      <c r="D11" s="58">
        <v>0.79166666666666663</v>
      </c>
      <c r="E11" s="30" t="s">
        <v>85</v>
      </c>
      <c r="F11" s="30" t="s">
        <v>48</v>
      </c>
      <c r="G11" s="30" t="s">
        <v>63</v>
      </c>
      <c r="H11" s="31"/>
      <c r="I11" s="32">
        <f>IF(E11="","",IF(H11&lt;&gt;"",H11,IFERROR(INDEX(Configuración!$G$6:$G$11,R11),"")))</f>
        <v>12</v>
      </c>
      <c r="J11" s="32">
        <f>IF(OR(E11="",U11=""),"",IF(INDEX(Configuración!$G$26:$G$37,U11)="","",INDEX(Configuración!$G$26:$G$37,U11)))</f>
        <v>45</v>
      </c>
      <c r="K11" s="59">
        <f t="shared" si="1"/>
        <v>0.82291666666666663</v>
      </c>
      <c r="L11" s="60" t="str">
        <f>IF(D11="","",IFERROR(INDEX(Configuración!$B$24:$B$29,MATCH(D11,Configuración!$C$24:$C$29,1)),""))</f>
        <v>Tarde-noche</v>
      </c>
      <c r="M11" s="61">
        <f>IF(OR(G11="",J11=""),"",IFERROR(INDEX(Configuración!$G$14:$G$23,MATCH(G11,Configuración!$F$14:$F$23,0))*J11/60,""))</f>
        <v>12</v>
      </c>
      <c r="N11" s="62" t="str">
        <f>IF(COUNTA(C11:H11)=0,"",IF(C11="","Falta el día",IF(D11="","Falta la hora",IF(E11="","Falta la actividad",IF(F11="","Falta la sala",IF(U11="","Esta actividad no está en «Configuración»",IF(R11="","Esta sala no está en «Configuración»",IF(O11="","Elige el día en la lista",IF(P11="","Escribe la hora así: 19:00",IF(COUNTIFS($O$6:$O$65,O11,$R$6:$R$65,R11,$P$6:$P$65,"&lt;"&amp;Q11,$Q$6:$Q$65,"&gt;"&amp;P11)&gt;1,"Se solapa con otra clase en la misma sala",IF(AND(G11&lt;&gt;"",COUNTIFS($O$6:$O$65,O11,$G$6:$G$65,G11,$P$6:$P$65,"&lt;"&amp;Q11,$Q$6:$Q$65,"&gt;"&amp;P11)&gt;1),"El monitor tiene otra clase a la vez",IF(AND(G11&lt;&gt;"",ISNA(MATCH(G11,Configuración!$F$14:$F$23,0))),"Este monitor no está en «Configuración»",IF(AND(H11&lt;&gt;"",N(INDEX(Configuración!$G$6:$G$11,R11))&gt;0,N(H11)&gt;N(INDEX(Configuración!$G$6:$G$11,R11))),"Más plazas que el aforo de la sala","")))))))))))))</f>
        <v/>
      </c>
      <c r="O11">
        <f>IF(C11="","",IFERROR(MATCH(C11,{"Lunes","Martes","Miércoles","Jueves","Viernes","Sábado","Domingo"},0),""))</f>
        <v>1</v>
      </c>
      <c r="P11">
        <f t="shared" si="2"/>
        <v>1140</v>
      </c>
      <c r="Q11">
        <f t="shared" si="3"/>
        <v>1185</v>
      </c>
      <c r="R11">
        <f>IF(F11="","",IFERROR(MATCH(F11,Configuración!$F$6:$F$11,0),""))</f>
        <v>2</v>
      </c>
      <c r="S11">
        <f t="shared" si="4"/>
        <v>11402</v>
      </c>
      <c r="T11">
        <f t="shared" si="5"/>
        <v>111402</v>
      </c>
      <c r="U11">
        <f>IF(E11="","",IFERROR(MATCH(E11,Configuración!$F$26:$F$37,0),""))</f>
        <v>5</v>
      </c>
    </row>
    <row r="12" spans="2:21" ht="18" customHeight="1" x14ac:dyDescent="0.2">
      <c r="B12" s="57">
        <f t="shared" si="0"/>
        <v>7</v>
      </c>
      <c r="C12" s="30" t="s">
        <v>110</v>
      </c>
      <c r="D12" s="58">
        <v>0.83333333333333337</v>
      </c>
      <c r="E12" s="30" t="s">
        <v>88</v>
      </c>
      <c r="F12" s="30" t="s">
        <v>45</v>
      </c>
      <c r="G12" s="30" t="s">
        <v>60</v>
      </c>
      <c r="H12" s="31"/>
      <c r="I12" s="32">
        <f>IF(E12="","",IF(H12&lt;&gt;"",H12,IFERROR(INDEX(Configuración!$G$6:$G$11,R12),"")))</f>
        <v>16</v>
      </c>
      <c r="J12" s="32">
        <f>IF(OR(E12="",U12=""),"",IF(INDEX(Configuración!$G$26:$G$37,U12)="","",INDEX(Configuración!$G$26:$G$37,U12)))</f>
        <v>60</v>
      </c>
      <c r="K12" s="59">
        <f t="shared" si="1"/>
        <v>0.875</v>
      </c>
      <c r="L12" s="60" t="str">
        <f>IF(D12="","",IFERROR(INDEX(Configuración!$B$24:$B$29,MATCH(D12,Configuración!$C$24:$C$29,1)),""))</f>
        <v>Tarde-noche</v>
      </c>
      <c r="M12" s="61">
        <f>IF(OR(G12="",J12=""),"",IFERROR(INDEX(Configuración!$G$14:$G$23,MATCH(G12,Configuración!$F$14:$F$23,0))*J12/60,""))</f>
        <v>20</v>
      </c>
      <c r="N12" s="62" t="str">
        <f>IF(COUNTA(C12:H12)=0,"",IF(C12="","Falta el día",IF(D12="","Falta la hora",IF(E12="","Falta la actividad",IF(F12="","Falta la sala",IF(U12="","Esta actividad no está en «Configuración»",IF(R12="","Esta sala no está en «Configuración»",IF(O12="","Elige el día en la lista",IF(P12="","Escribe la hora así: 19:00",IF(COUNTIFS($O$6:$O$65,O12,$R$6:$R$65,R12,$P$6:$P$65,"&lt;"&amp;Q12,$Q$6:$Q$65,"&gt;"&amp;P12)&gt;1,"Se solapa con otra clase en la misma sala",IF(AND(G12&lt;&gt;"",COUNTIFS($O$6:$O$65,O12,$G$6:$G$65,G12,$P$6:$P$65,"&lt;"&amp;Q12,$Q$6:$Q$65,"&gt;"&amp;P12)&gt;1),"El monitor tiene otra clase a la vez",IF(AND(G12&lt;&gt;"",ISNA(MATCH(G12,Configuración!$F$14:$F$23,0))),"Este monitor no está en «Configuración»",IF(AND(H12&lt;&gt;"",N(INDEX(Configuración!$G$6:$G$11,R12))&gt;0,N(H12)&gt;N(INDEX(Configuración!$G$6:$G$11,R12))),"Más plazas que el aforo de la sala","")))))))))))))</f>
        <v/>
      </c>
      <c r="O12">
        <f>IF(C12="","",IFERROR(MATCH(C12,{"Lunes","Martes","Miércoles","Jueves","Viernes","Sábado","Domingo"},0),""))</f>
        <v>1</v>
      </c>
      <c r="P12">
        <f t="shared" si="2"/>
        <v>1200</v>
      </c>
      <c r="Q12">
        <f t="shared" si="3"/>
        <v>1260</v>
      </c>
      <c r="R12">
        <f>IF(F12="","",IFERROR(MATCH(F12,Configuración!$F$6:$F$11,0),""))</f>
        <v>1</v>
      </c>
      <c r="S12">
        <f t="shared" si="4"/>
        <v>12001</v>
      </c>
      <c r="T12">
        <f t="shared" si="5"/>
        <v>112001</v>
      </c>
      <c r="U12">
        <f>IF(E12="","",IFERROR(MATCH(E12,Configuración!$F$26:$F$37,0),""))</f>
        <v>8</v>
      </c>
    </row>
    <row r="13" spans="2:21" ht="18" customHeight="1" x14ac:dyDescent="0.2">
      <c r="B13" s="57">
        <f t="shared" si="0"/>
        <v>8</v>
      </c>
      <c r="C13" s="30" t="s">
        <v>111</v>
      </c>
      <c r="D13" s="58">
        <v>0.29166666666666669</v>
      </c>
      <c r="E13" s="30" t="s">
        <v>77</v>
      </c>
      <c r="F13" s="30" t="s">
        <v>45</v>
      </c>
      <c r="G13" s="30" t="s">
        <v>59</v>
      </c>
      <c r="H13" s="31"/>
      <c r="I13" s="32">
        <f>IF(E13="","",IF(H13&lt;&gt;"",H13,IFERROR(INDEX(Configuración!$G$6:$G$11,R13),"")))</f>
        <v>16</v>
      </c>
      <c r="J13" s="32">
        <f>IF(OR(E13="",U13=""),"",IF(INDEX(Configuración!$G$26:$G$37,U13)="","",INDEX(Configuración!$G$26:$G$37,U13)))</f>
        <v>60</v>
      </c>
      <c r="K13" s="59">
        <f t="shared" si="1"/>
        <v>0.33333333333333337</v>
      </c>
      <c r="L13" s="60" t="str">
        <f>IF(D13="","",IFERROR(INDEX(Configuración!$B$24:$B$29,MATCH(D13,Configuración!$C$24:$C$29,1)),""))</f>
        <v>Primera hora</v>
      </c>
      <c r="M13" s="61">
        <f>IF(OR(G13="",J13=""),"",IFERROR(INDEX(Configuración!$G$14:$G$23,MATCH(G13,Configuración!$F$14:$F$23,0))*J13/60,""))</f>
        <v>18</v>
      </c>
      <c r="N13" s="62" t="str">
        <f>IF(COUNTA(C13:H13)=0,"",IF(C13="","Falta el día",IF(D13="","Falta la hora",IF(E13="","Falta la actividad",IF(F13="","Falta la sala",IF(U13="","Esta actividad no está en «Configuración»",IF(R13="","Esta sala no está en «Configuración»",IF(O13="","Elige el día en la lista",IF(P13="","Escribe la hora así: 19:00",IF(COUNTIFS($O$6:$O$65,O13,$R$6:$R$65,R13,$P$6:$P$65,"&lt;"&amp;Q13,$Q$6:$Q$65,"&gt;"&amp;P13)&gt;1,"Se solapa con otra clase en la misma sala",IF(AND(G13&lt;&gt;"",COUNTIFS($O$6:$O$65,O13,$G$6:$G$65,G13,$P$6:$P$65,"&lt;"&amp;Q13,$Q$6:$Q$65,"&gt;"&amp;P13)&gt;1),"El monitor tiene otra clase a la vez",IF(AND(G13&lt;&gt;"",ISNA(MATCH(G13,Configuración!$F$14:$F$23,0))),"Este monitor no está en «Configuración»",IF(AND(H13&lt;&gt;"",N(INDEX(Configuración!$G$6:$G$11,R13))&gt;0,N(H13)&gt;N(INDEX(Configuración!$G$6:$G$11,R13))),"Más plazas que el aforo de la sala","")))))))))))))</f>
        <v/>
      </c>
      <c r="O13">
        <f>IF(C13="","",IFERROR(MATCH(C13,{"Lunes","Martes","Miércoles","Jueves","Viernes","Sábado","Domingo"},0),""))</f>
        <v>2</v>
      </c>
      <c r="P13">
        <f t="shared" si="2"/>
        <v>420</v>
      </c>
      <c r="Q13">
        <f t="shared" si="3"/>
        <v>480</v>
      </c>
      <c r="R13">
        <f>IF(F13="","",IFERROR(MATCH(F13,Configuración!$F$6:$F$11,0),""))</f>
        <v>1</v>
      </c>
      <c r="S13">
        <f t="shared" si="4"/>
        <v>4201</v>
      </c>
      <c r="T13">
        <f t="shared" si="5"/>
        <v>204201</v>
      </c>
      <c r="U13">
        <f>IF(E13="","",IFERROR(MATCH(E13,Configuración!$F$26:$F$37,0),""))</f>
        <v>1</v>
      </c>
    </row>
    <row r="14" spans="2:21" ht="18" customHeight="1" x14ac:dyDescent="0.2">
      <c r="B14" s="57">
        <f t="shared" si="0"/>
        <v>9</v>
      </c>
      <c r="C14" s="30" t="s">
        <v>111</v>
      </c>
      <c r="D14" s="58">
        <v>0.41666666666666669</v>
      </c>
      <c r="E14" s="30" t="s">
        <v>90</v>
      </c>
      <c r="F14" s="30" t="s">
        <v>45</v>
      </c>
      <c r="G14" s="30" t="s">
        <v>60</v>
      </c>
      <c r="H14" s="31">
        <v>10</v>
      </c>
      <c r="I14" s="32">
        <f>IF(E14="","",IF(H14&lt;&gt;"",H14,IFERROR(INDEX(Configuración!$G$6:$G$11,R14),"")))</f>
        <v>10</v>
      </c>
      <c r="J14" s="32">
        <f>IF(OR(E14="",U14=""),"",IF(INDEX(Configuración!$G$26:$G$37,U14)="","",INDEX(Configuración!$G$26:$G$37,U14)))</f>
        <v>50</v>
      </c>
      <c r="K14" s="59">
        <f t="shared" si="1"/>
        <v>0.4513888888888889</v>
      </c>
      <c r="L14" s="60" t="str">
        <f>IF(D14="","",IFERROR(INDEX(Configuración!$B$24:$B$29,MATCH(D14,Configuración!$C$24:$C$29,1)),""))</f>
        <v>Mañana</v>
      </c>
      <c r="M14" s="61">
        <f>IF(OR(G14="",J14=""),"",IFERROR(INDEX(Configuración!$G$14:$G$23,MATCH(G14,Configuración!$F$14:$F$23,0))*J14/60,""))</f>
        <v>16.666666666666668</v>
      </c>
      <c r="N14" s="62" t="str">
        <f>IF(COUNTA(C14:H14)=0,"",IF(C14="","Falta el día",IF(D14="","Falta la hora",IF(E14="","Falta la actividad",IF(F14="","Falta la sala",IF(U14="","Esta actividad no está en «Configuración»",IF(R14="","Esta sala no está en «Configuración»",IF(O14="","Elige el día en la lista",IF(P14="","Escribe la hora así: 19:00",IF(COUNTIFS($O$6:$O$65,O14,$R$6:$R$65,R14,$P$6:$P$65,"&lt;"&amp;Q14,$Q$6:$Q$65,"&gt;"&amp;P14)&gt;1,"Se solapa con otra clase en la misma sala",IF(AND(G14&lt;&gt;"",COUNTIFS($O$6:$O$65,O14,$G$6:$G$65,G14,$P$6:$P$65,"&lt;"&amp;Q14,$Q$6:$Q$65,"&gt;"&amp;P14)&gt;1),"El monitor tiene otra clase a la vez",IF(AND(G14&lt;&gt;"",ISNA(MATCH(G14,Configuración!$F$14:$F$23,0))),"Este monitor no está en «Configuración»",IF(AND(H14&lt;&gt;"",N(INDEX(Configuración!$G$6:$G$11,R14))&gt;0,N(H14)&gt;N(INDEX(Configuración!$G$6:$G$11,R14))),"Más plazas que el aforo de la sala","")))))))))))))</f>
        <v/>
      </c>
      <c r="O14">
        <f>IF(C14="","",IFERROR(MATCH(C14,{"Lunes","Martes","Miércoles","Jueves","Viernes","Sábado","Domingo"},0),""))</f>
        <v>2</v>
      </c>
      <c r="P14">
        <f t="shared" si="2"/>
        <v>600</v>
      </c>
      <c r="Q14">
        <f t="shared" si="3"/>
        <v>650</v>
      </c>
      <c r="R14">
        <f>IF(F14="","",IFERROR(MATCH(F14,Configuración!$F$6:$F$11,0),""))</f>
        <v>1</v>
      </c>
      <c r="S14">
        <f t="shared" si="4"/>
        <v>6001</v>
      </c>
      <c r="T14">
        <f t="shared" si="5"/>
        <v>206001</v>
      </c>
      <c r="U14">
        <f>IF(E14="","",IFERROR(MATCH(E14,Configuración!$F$26:$F$37,0),""))</f>
        <v>10</v>
      </c>
    </row>
    <row r="15" spans="2:21" ht="18" customHeight="1" x14ac:dyDescent="0.2">
      <c r="B15" s="57">
        <f t="shared" si="0"/>
        <v>10</v>
      </c>
      <c r="C15" s="30" t="s">
        <v>111</v>
      </c>
      <c r="D15" s="58">
        <v>0.42708333333333331</v>
      </c>
      <c r="E15" s="30" t="s">
        <v>86</v>
      </c>
      <c r="F15" s="30" t="s">
        <v>48</v>
      </c>
      <c r="G15" s="30" t="s">
        <v>61</v>
      </c>
      <c r="H15" s="31"/>
      <c r="I15" s="32">
        <f>IF(E15="","",IF(H15&lt;&gt;"",H15,IFERROR(INDEX(Configuración!$G$6:$G$11,R15),"")))</f>
        <v>12</v>
      </c>
      <c r="J15" s="32">
        <f>IF(OR(E15="",U15=""),"",IF(INDEX(Configuración!$G$26:$G$37,U15)="","",INDEX(Configuración!$G$26:$G$37,U15)))</f>
        <v>45</v>
      </c>
      <c r="K15" s="59">
        <f t="shared" si="1"/>
        <v>0.45833333333333331</v>
      </c>
      <c r="L15" s="60" t="str">
        <f>IF(D15="","",IFERROR(INDEX(Configuración!$B$24:$B$29,MATCH(D15,Configuración!$C$24:$C$29,1)),""))</f>
        <v>Mañana</v>
      </c>
      <c r="M15" s="61">
        <f>IF(OR(G15="",J15=""),"",IFERROR(INDEX(Configuración!$G$14:$G$23,MATCH(G15,Configuración!$F$14:$F$23,0))*J15/60,""))</f>
        <v>12.75</v>
      </c>
      <c r="N15" s="62" t="str">
        <f>IF(COUNTA(C15:H15)=0,"",IF(C15="","Falta el día",IF(D15="","Falta la hora",IF(E15="","Falta la actividad",IF(F15="","Falta la sala",IF(U15="","Esta actividad no está en «Configuración»",IF(R15="","Esta sala no está en «Configuración»",IF(O15="","Elige el día en la lista",IF(P15="","Escribe la hora así: 19:00",IF(COUNTIFS($O$6:$O$65,O15,$R$6:$R$65,R15,$P$6:$P$65,"&lt;"&amp;Q15,$Q$6:$Q$65,"&gt;"&amp;P15)&gt;1,"Se solapa con otra clase en la misma sala",IF(AND(G15&lt;&gt;"",COUNTIFS($O$6:$O$65,O15,$G$6:$G$65,G15,$P$6:$P$65,"&lt;"&amp;Q15,$Q$6:$Q$65,"&gt;"&amp;P15)&gt;1),"El monitor tiene otra clase a la vez",IF(AND(G15&lt;&gt;"",ISNA(MATCH(G15,Configuración!$F$14:$F$23,0))),"Este monitor no está en «Configuración»",IF(AND(H15&lt;&gt;"",N(INDEX(Configuración!$G$6:$G$11,R15))&gt;0,N(H15)&gt;N(INDEX(Configuración!$G$6:$G$11,R15))),"Más plazas que el aforo de la sala","")))))))))))))</f>
        <v/>
      </c>
      <c r="O15">
        <f>IF(C15="","",IFERROR(MATCH(C15,{"Lunes","Martes","Miércoles","Jueves","Viernes","Sábado","Domingo"},0),""))</f>
        <v>2</v>
      </c>
      <c r="P15">
        <f t="shared" si="2"/>
        <v>615</v>
      </c>
      <c r="Q15">
        <f t="shared" si="3"/>
        <v>660</v>
      </c>
      <c r="R15">
        <f>IF(F15="","",IFERROR(MATCH(F15,Configuración!$F$6:$F$11,0),""))</f>
        <v>2</v>
      </c>
      <c r="S15">
        <f t="shared" si="4"/>
        <v>6152</v>
      </c>
      <c r="T15">
        <f t="shared" si="5"/>
        <v>206152</v>
      </c>
      <c r="U15">
        <f>IF(E15="","",IFERROR(MATCH(E15,Configuración!$F$26:$F$37,0),""))</f>
        <v>6</v>
      </c>
    </row>
    <row r="16" spans="2:21" ht="18" customHeight="1" x14ac:dyDescent="0.2">
      <c r="B16" s="57">
        <f t="shared" si="0"/>
        <v>11</v>
      </c>
      <c r="C16" s="30" t="s">
        <v>111</v>
      </c>
      <c r="D16" s="58">
        <v>0.59375</v>
      </c>
      <c r="E16" s="30" t="s">
        <v>89</v>
      </c>
      <c r="F16" s="30" t="s">
        <v>48</v>
      </c>
      <c r="G16" s="30" t="s">
        <v>63</v>
      </c>
      <c r="H16" s="31"/>
      <c r="I16" s="32">
        <f>IF(E16="","",IF(H16&lt;&gt;"",H16,IFERROR(INDEX(Configuración!$G$6:$G$11,R16),"")))</f>
        <v>12</v>
      </c>
      <c r="J16" s="32">
        <f>IF(OR(E16="",U16=""),"",IF(INDEX(Configuración!$G$26:$G$37,U16)="","",INDEX(Configuración!$G$26:$G$37,U16)))</f>
        <v>30</v>
      </c>
      <c r="K16" s="59">
        <f t="shared" si="1"/>
        <v>0.61458333333333337</v>
      </c>
      <c r="L16" s="60" t="str">
        <f>IF(D16="","",IFERROR(INDEX(Configuración!$B$24:$B$29,MATCH(D16,Configuración!$C$24:$C$29,1)),""))</f>
        <v>Mediodía</v>
      </c>
      <c r="M16" s="61">
        <f>IF(OR(G16="",J16=""),"",IFERROR(INDEX(Configuración!$G$14:$G$23,MATCH(G16,Configuración!$F$14:$F$23,0))*J16/60,""))</f>
        <v>8</v>
      </c>
      <c r="N16" s="62" t="str">
        <f>IF(COUNTA(C16:H16)=0,"",IF(C16="","Falta el día",IF(D16="","Falta la hora",IF(E16="","Falta la actividad",IF(F16="","Falta la sala",IF(U16="","Esta actividad no está en «Configuración»",IF(R16="","Esta sala no está en «Configuración»",IF(O16="","Elige el día en la lista",IF(P16="","Escribe la hora así: 19:00",IF(COUNTIFS($O$6:$O$65,O16,$R$6:$R$65,R16,$P$6:$P$65,"&lt;"&amp;Q16,$Q$6:$Q$65,"&gt;"&amp;P16)&gt;1,"Se solapa con otra clase en la misma sala",IF(AND(G16&lt;&gt;"",COUNTIFS($O$6:$O$65,O16,$G$6:$G$65,G16,$P$6:$P$65,"&lt;"&amp;Q16,$Q$6:$Q$65,"&gt;"&amp;P16)&gt;1),"El monitor tiene otra clase a la vez",IF(AND(G16&lt;&gt;"",ISNA(MATCH(G16,Configuración!$F$14:$F$23,0))),"Este monitor no está en «Configuración»",IF(AND(H16&lt;&gt;"",N(INDEX(Configuración!$G$6:$G$11,R16))&gt;0,N(H16)&gt;N(INDEX(Configuración!$G$6:$G$11,R16))),"Más plazas que el aforo de la sala","")))))))))))))</f>
        <v/>
      </c>
      <c r="O16">
        <f>IF(C16="","",IFERROR(MATCH(C16,{"Lunes","Martes","Miércoles","Jueves","Viernes","Sábado","Domingo"},0),""))</f>
        <v>2</v>
      </c>
      <c r="P16">
        <f t="shared" si="2"/>
        <v>855</v>
      </c>
      <c r="Q16">
        <f t="shared" si="3"/>
        <v>885</v>
      </c>
      <c r="R16">
        <f>IF(F16="","",IFERROR(MATCH(F16,Configuración!$F$6:$F$11,0),""))</f>
        <v>2</v>
      </c>
      <c r="S16">
        <f t="shared" si="4"/>
        <v>8552</v>
      </c>
      <c r="T16">
        <f t="shared" si="5"/>
        <v>208552</v>
      </c>
      <c r="U16">
        <f>IF(E16="","",IFERROR(MATCH(E16,Configuración!$F$26:$F$37,0),""))</f>
        <v>9</v>
      </c>
    </row>
    <row r="17" spans="2:21" ht="18" customHeight="1" x14ac:dyDescent="0.2">
      <c r="B17" s="57">
        <f t="shared" si="0"/>
        <v>12</v>
      </c>
      <c r="C17" s="30" t="s">
        <v>111</v>
      </c>
      <c r="D17" s="58">
        <v>0.79166666666666663</v>
      </c>
      <c r="E17" s="30" t="s">
        <v>77</v>
      </c>
      <c r="F17" s="30" t="s">
        <v>45</v>
      </c>
      <c r="G17" s="30" t="s">
        <v>59</v>
      </c>
      <c r="H17" s="31"/>
      <c r="I17" s="32">
        <f>IF(E17="","",IF(H17&lt;&gt;"",H17,IFERROR(INDEX(Configuración!$G$6:$G$11,R17),"")))</f>
        <v>16</v>
      </c>
      <c r="J17" s="32">
        <f>IF(OR(E17="",U17=""),"",IF(INDEX(Configuración!$G$26:$G$37,U17)="","",INDEX(Configuración!$G$26:$G$37,U17)))</f>
        <v>60</v>
      </c>
      <c r="K17" s="59">
        <f t="shared" si="1"/>
        <v>0.83333333333333326</v>
      </c>
      <c r="L17" s="60" t="str">
        <f>IF(D17="","",IFERROR(INDEX(Configuración!$B$24:$B$29,MATCH(D17,Configuración!$C$24:$C$29,1)),""))</f>
        <v>Tarde-noche</v>
      </c>
      <c r="M17" s="61">
        <f>IF(OR(G17="",J17=""),"",IFERROR(INDEX(Configuración!$G$14:$G$23,MATCH(G17,Configuración!$F$14:$F$23,0))*J17/60,""))</f>
        <v>18</v>
      </c>
      <c r="N17" s="62" t="str">
        <f>IF(COUNTA(C17:H17)=0,"",IF(C17="","Falta el día",IF(D17="","Falta la hora",IF(E17="","Falta la actividad",IF(F17="","Falta la sala",IF(U17="","Esta actividad no está en «Configuración»",IF(R17="","Esta sala no está en «Configuración»",IF(O17="","Elige el día en la lista",IF(P17="","Escribe la hora así: 19:00",IF(COUNTIFS($O$6:$O$65,O17,$R$6:$R$65,R17,$P$6:$P$65,"&lt;"&amp;Q17,$Q$6:$Q$65,"&gt;"&amp;P17)&gt;1,"Se solapa con otra clase en la misma sala",IF(AND(G17&lt;&gt;"",COUNTIFS($O$6:$O$65,O17,$G$6:$G$65,G17,$P$6:$P$65,"&lt;"&amp;Q17,$Q$6:$Q$65,"&gt;"&amp;P17)&gt;1),"El monitor tiene otra clase a la vez",IF(AND(G17&lt;&gt;"",ISNA(MATCH(G17,Configuración!$F$14:$F$23,0))),"Este monitor no está en «Configuración»",IF(AND(H17&lt;&gt;"",N(INDEX(Configuración!$G$6:$G$11,R17))&gt;0,N(H17)&gt;N(INDEX(Configuración!$G$6:$G$11,R17))),"Más plazas que el aforo de la sala","")))))))))))))</f>
        <v/>
      </c>
      <c r="O17">
        <f>IF(C17="","",IFERROR(MATCH(C17,{"Lunes","Martes","Miércoles","Jueves","Viernes","Sábado","Domingo"},0),""))</f>
        <v>2</v>
      </c>
      <c r="P17">
        <f t="shared" si="2"/>
        <v>1140</v>
      </c>
      <c r="Q17">
        <f t="shared" si="3"/>
        <v>1200</v>
      </c>
      <c r="R17">
        <f>IF(F17="","",IFERROR(MATCH(F17,Configuración!$F$6:$F$11,0),""))</f>
        <v>1</v>
      </c>
      <c r="S17">
        <f t="shared" si="4"/>
        <v>11401</v>
      </c>
      <c r="T17">
        <f t="shared" si="5"/>
        <v>211401</v>
      </c>
      <c r="U17">
        <f>IF(E17="","",IFERROR(MATCH(E17,Configuración!$F$26:$F$37,0),""))</f>
        <v>1</v>
      </c>
    </row>
    <row r="18" spans="2:21" ht="18" customHeight="1" x14ac:dyDescent="0.2">
      <c r="B18" s="57">
        <f t="shared" si="0"/>
        <v>13</v>
      </c>
      <c r="C18" s="30" t="s">
        <v>111</v>
      </c>
      <c r="D18" s="58">
        <v>0.79166666666666663</v>
      </c>
      <c r="E18" s="30" t="s">
        <v>81</v>
      </c>
      <c r="F18" s="30" t="s">
        <v>48</v>
      </c>
      <c r="G18" s="30" t="s">
        <v>65</v>
      </c>
      <c r="H18" s="31"/>
      <c r="I18" s="32">
        <f>IF(E18="","",IF(H18&lt;&gt;"",H18,IFERROR(INDEX(Configuración!$G$6:$G$11,R18),"")))</f>
        <v>12</v>
      </c>
      <c r="J18" s="32">
        <f>IF(OR(E18="",U18=""),"",IF(INDEX(Configuración!$G$26:$G$37,U18)="","",INDEX(Configuración!$G$26:$G$37,U18)))</f>
        <v>55</v>
      </c>
      <c r="K18" s="59">
        <f t="shared" si="1"/>
        <v>0.82986111111111105</v>
      </c>
      <c r="L18" s="60" t="str">
        <f>IF(D18="","",IFERROR(INDEX(Configuración!$B$24:$B$29,MATCH(D18,Configuración!$C$24:$C$29,1)),""))</f>
        <v>Tarde-noche</v>
      </c>
      <c r="M18" s="61">
        <f>IF(OR(G18="",J18=""),"",IFERROR(INDEX(Configuración!$G$14:$G$23,MATCH(G18,Configuración!$F$14:$F$23,0))*J18/60,""))</f>
        <v>20.166666666666668</v>
      </c>
      <c r="N18" s="62" t="str">
        <f>IF(COUNTA(C18:H18)=0,"",IF(C18="","Falta el día",IF(D18="","Falta la hora",IF(E18="","Falta la actividad",IF(F18="","Falta la sala",IF(U18="","Esta actividad no está en «Configuración»",IF(R18="","Esta sala no está en «Configuración»",IF(O18="","Elige el día en la lista",IF(P18="","Escribe la hora así: 19:00",IF(COUNTIFS($O$6:$O$65,O18,$R$6:$R$65,R18,$P$6:$P$65,"&lt;"&amp;Q18,$Q$6:$Q$65,"&gt;"&amp;P18)&gt;1,"Se solapa con otra clase en la misma sala",IF(AND(G18&lt;&gt;"",COUNTIFS($O$6:$O$65,O18,$G$6:$G$65,G18,$P$6:$P$65,"&lt;"&amp;Q18,$Q$6:$Q$65,"&gt;"&amp;P18)&gt;1),"El monitor tiene otra clase a la vez",IF(AND(G18&lt;&gt;"",ISNA(MATCH(G18,Configuración!$F$14:$F$23,0))),"Este monitor no está en «Configuración»",IF(AND(H18&lt;&gt;"",N(INDEX(Configuración!$G$6:$G$11,R18))&gt;0,N(H18)&gt;N(INDEX(Configuración!$G$6:$G$11,R18))),"Más plazas que el aforo de la sala","")))))))))))))</f>
        <v/>
      </c>
      <c r="O18">
        <f>IF(C18="","",IFERROR(MATCH(C18,{"Lunes","Martes","Miércoles","Jueves","Viernes","Sábado","Domingo"},0),""))</f>
        <v>2</v>
      </c>
      <c r="P18">
        <f t="shared" si="2"/>
        <v>1140</v>
      </c>
      <c r="Q18">
        <f t="shared" si="3"/>
        <v>1195</v>
      </c>
      <c r="R18">
        <f>IF(F18="","",IFERROR(MATCH(F18,Configuración!$F$6:$F$11,0),""))</f>
        <v>2</v>
      </c>
      <c r="S18">
        <f t="shared" si="4"/>
        <v>11402</v>
      </c>
      <c r="T18">
        <f t="shared" si="5"/>
        <v>211402</v>
      </c>
      <c r="U18">
        <f>IF(E18="","",IFERROR(MATCH(E18,Configuración!$F$26:$F$37,0),""))</f>
        <v>3</v>
      </c>
    </row>
    <row r="19" spans="2:21" ht="18" customHeight="1" x14ac:dyDescent="0.2">
      <c r="B19" s="57">
        <f t="shared" si="0"/>
        <v>14</v>
      </c>
      <c r="C19" s="30" t="s">
        <v>111</v>
      </c>
      <c r="D19" s="58">
        <v>0.83333333333333337</v>
      </c>
      <c r="E19" s="30" t="s">
        <v>83</v>
      </c>
      <c r="F19" s="30" t="s">
        <v>48</v>
      </c>
      <c r="G19" s="30" t="s">
        <v>61</v>
      </c>
      <c r="H19" s="31"/>
      <c r="I19" s="32">
        <f>IF(E19="","",IF(H19&lt;&gt;"",H19,IFERROR(INDEX(Configuración!$G$6:$G$11,R19),"")))</f>
        <v>12</v>
      </c>
      <c r="J19" s="32">
        <f>IF(OR(E19="",U19=""),"",IF(INDEX(Configuración!$G$26:$G$37,U19)="","",INDEX(Configuración!$G$26:$G$37,U19)))</f>
        <v>60</v>
      </c>
      <c r="K19" s="59">
        <f t="shared" si="1"/>
        <v>0.875</v>
      </c>
      <c r="L19" s="60" t="str">
        <f>IF(D19="","",IFERROR(INDEX(Configuración!$B$24:$B$29,MATCH(D19,Configuración!$C$24:$C$29,1)),""))</f>
        <v>Tarde-noche</v>
      </c>
      <c r="M19" s="61">
        <f>IF(OR(G19="",J19=""),"",IFERROR(INDEX(Configuración!$G$14:$G$23,MATCH(G19,Configuración!$F$14:$F$23,0))*J19/60,""))</f>
        <v>17</v>
      </c>
      <c r="N19" s="62" t="str">
        <f>IF(COUNTA(C19:H19)=0,"",IF(C19="","Falta el día",IF(D19="","Falta la hora",IF(E19="","Falta la actividad",IF(F19="","Falta la sala",IF(U19="","Esta actividad no está en «Configuración»",IF(R19="","Esta sala no está en «Configuración»",IF(O19="","Elige el día en la lista",IF(P19="","Escribe la hora así: 19:00",IF(COUNTIFS($O$6:$O$65,O19,$R$6:$R$65,R19,$P$6:$P$65,"&lt;"&amp;Q19,$Q$6:$Q$65,"&gt;"&amp;P19)&gt;1,"Se solapa con otra clase en la misma sala",IF(AND(G19&lt;&gt;"",COUNTIFS($O$6:$O$65,O19,$G$6:$G$65,G19,$P$6:$P$65,"&lt;"&amp;Q19,$Q$6:$Q$65,"&gt;"&amp;P19)&gt;1),"El monitor tiene otra clase a la vez",IF(AND(G19&lt;&gt;"",ISNA(MATCH(G19,Configuración!$F$14:$F$23,0))),"Este monitor no está en «Configuración»",IF(AND(H19&lt;&gt;"",N(INDEX(Configuración!$G$6:$G$11,R19))&gt;0,N(H19)&gt;N(INDEX(Configuración!$G$6:$G$11,R19))),"Más plazas que el aforo de la sala","")))))))))))))</f>
        <v/>
      </c>
      <c r="O19">
        <f>IF(C19="","",IFERROR(MATCH(C19,{"Lunes","Martes","Miércoles","Jueves","Viernes","Sábado","Domingo"},0),""))</f>
        <v>2</v>
      </c>
      <c r="P19">
        <f t="shared" si="2"/>
        <v>1200</v>
      </c>
      <c r="Q19">
        <f t="shared" si="3"/>
        <v>1260</v>
      </c>
      <c r="R19">
        <f>IF(F19="","",IFERROR(MATCH(F19,Configuración!$F$6:$F$11,0),""))</f>
        <v>2</v>
      </c>
      <c r="S19">
        <f t="shared" si="4"/>
        <v>12002</v>
      </c>
      <c r="T19">
        <f t="shared" si="5"/>
        <v>212002</v>
      </c>
      <c r="U19">
        <f>IF(E19="","",IFERROR(MATCH(E19,Configuración!$F$26:$F$37,0),""))</f>
        <v>4</v>
      </c>
    </row>
    <row r="20" spans="2:21" ht="18" customHeight="1" x14ac:dyDescent="0.2">
      <c r="B20" s="57">
        <f t="shared" si="0"/>
        <v>15</v>
      </c>
      <c r="C20" s="30" t="s">
        <v>111</v>
      </c>
      <c r="D20" s="58">
        <v>0.875</v>
      </c>
      <c r="E20" s="30" t="s">
        <v>77</v>
      </c>
      <c r="F20" s="30" t="s">
        <v>45</v>
      </c>
      <c r="G20" s="30" t="s">
        <v>63</v>
      </c>
      <c r="H20" s="31"/>
      <c r="I20" s="32">
        <f>IF(E20="","",IF(H20&lt;&gt;"",H20,IFERROR(INDEX(Configuración!$G$6:$G$11,R20),"")))</f>
        <v>16</v>
      </c>
      <c r="J20" s="32">
        <f>IF(OR(E20="",U20=""),"",IF(INDEX(Configuración!$G$26:$G$37,U20)="","",INDEX(Configuración!$G$26:$G$37,U20)))</f>
        <v>60</v>
      </c>
      <c r="K20" s="59">
        <f t="shared" si="1"/>
        <v>0.91666666666666663</v>
      </c>
      <c r="L20" s="60" t="str">
        <f>IF(D20="","",IFERROR(INDEX(Configuración!$B$24:$B$29,MATCH(D20,Configuración!$C$24:$C$29,1)),""))</f>
        <v>Noche</v>
      </c>
      <c r="M20" s="61">
        <f>IF(OR(G20="",J20=""),"",IFERROR(INDEX(Configuración!$G$14:$G$23,MATCH(G20,Configuración!$F$14:$F$23,0))*J20/60,""))</f>
        <v>16</v>
      </c>
      <c r="N20" s="62" t="str">
        <f>IF(COUNTA(C20:H20)=0,"",IF(C20="","Falta el día",IF(D20="","Falta la hora",IF(E20="","Falta la actividad",IF(F20="","Falta la sala",IF(U20="","Esta actividad no está en «Configuración»",IF(R20="","Esta sala no está en «Configuración»",IF(O20="","Elige el día en la lista",IF(P20="","Escribe la hora así: 19:00",IF(COUNTIFS($O$6:$O$65,O20,$R$6:$R$65,R20,$P$6:$P$65,"&lt;"&amp;Q20,$Q$6:$Q$65,"&gt;"&amp;P20)&gt;1,"Se solapa con otra clase en la misma sala",IF(AND(G20&lt;&gt;"",COUNTIFS($O$6:$O$65,O20,$G$6:$G$65,G20,$P$6:$P$65,"&lt;"&amp;Q20,$Q$6:$Q$65,"&gt;"&amp;P20)&gt;1),"El monitor tiene otra clase a la vez",IF(AND(G20&lt;&gt;"",ISNA(MATCH(G20,Configuración!$F$14:$F$23,0))),"Este monitor no está en «Configuración»",IF(AND(H20&lt;&gt;"",N(INDEX(Configuración!$G$6:$G$11,R20))&gt;0,N(H20)&gt;N(INDEX(Configuración!$G$6:$G$11,R20))),"Más plazas que el aforo de la sala","")))))))))))))</f>
        <v/>
      </c>
      <c r="O20">
        <f>IF(C20="","",IFERROR(MATCH(C20,{"Lunes","Martes","Miércoles","Jueves","Viernes","Sábado","Domingo"},0),""))</f>
        <v>2</v>
      </c>
      <c r="P20">
        <f t="shared" si="2"/>
        <v>1260</v>
      </c>
      <c r="Q20">
        <f t="shared" si="3"/>
        <v>1320</v>
      </c>
      <c r="R20">
        <f>IF(F20="","",IFERROR(MATCH(F20,Configuración!$F$6:$F$11,0),""))</f>
        <v>1</v>
      </c>
      <c r="S20">
        <f t="shared" si="4"/>
        <v>12601</v>
      </c>
      <c r="T20">
        <f t="shared" si="5"/>
        <v>212601</v>
      </c>
      <c r="U20">
        <f>IF(E20="","",IFERROR(MATCH(E20,Configuración!$F$26:$F$37,0),""))</f>
        <v>1</v>
      </c>
    </row>
    <row r="21" spans="2:21" ht="18" customHeight="1" x14ac:dyDescent="0.2">
      <c r="B21" s="57">
        <f t="shared" si="0"/>
        <v>16</v>
      </c>
      <c r="C21" s="30" t="s">
        <v>112</v>
      </c>
      <c r="D21" s="58">
        <v>0.29166666666666669</v>
      </c>
      <c r="E21" s="30" t="s">
        <v>77</v>
      </c>
      <c r="F21" s="30" t="s">
        <v>45</v>
      </c>
      <c r="G21" s="30" t="s">
        <v>59</v>
      </c>
      <c r="H21" s="31"/>
      <c r="I21" s="32">
        <f>IF(E21="","",IF(H21&lt;&gt;"",H21,IFERROR(INDEX(Configuración!$G$6:$G$11,R21),"")))</f>
        <v>16</v>
      </c>
      <c r="J21" s="32">
        <f>IF(OR(E21="",U21=""),"",IF(INDEX(Configuración!$G$26:$G$37,U21)="","",INDEX(Configuración!$G$26:$G$37,U21)))</f>
        <v>60</v>
      </c>
      <c r="K21" s="59">
        <f t="shared" si="1"/>
        <v>0.33333333333333337</v>
      </c>
      <c r="L21" s="60" t="str">
        <f>IF(D21="","",IFERROR(INDEX(Configuración!$B$24:$B$29,MATCH(D21,Configuración!$C$24:$C$29,1)),""))</f>
        <v>Primera hora</v>
      </c>
      <c r="M21" s="61">
        <f>IF(OR(G21="",J21=""),"",IFERROR(INDEX(Configuración!$G$14:$G$23,MATCH(G21,Configuración!$F$14:$F$23,0))*J21/60,""))</f>
        <v>18</v>
      </c>
      <c r="N21" s="62" t="str">
        <f>IF(COUNTA(C21:H21)=0,"",IF(C21="","Falta el día",IF(D21="","Falta la hora",IF(E21="","Falta la actividad",IF(F21="","Falta la sala",IF(U21="","Esta actividad no está en «Configuración»",IF(R21="","Esta sala no está en «Configuración»",IF(O21="","Elige el día en la lista",IF(P21="","Escribe la hora así: 19:00",IF(COUNTIFS($O$6:$O$65,O21,$R$6:$R$65,R21,$P$6:$P$65,"&lt;"&amp;Q21,$Q$6:$Q$65,"&gt;"&amp;P21)&gt;1,"Se solapa con otra clase en la misma sala",IF(AND(G21&lt;&gt;"",COUNTIFS($O$6:$O$65,O21,$G$6:$G$65,G21,$P$6:$P$65,"&lt;"&amp;Q21,$Q$6:$Q$65,"&gt;"&amp;P21)&gt;1),"El monitor tiene otra clase a la vez",IF(AND(G21&lt;&gt;"",ISNA(MATCH(G21,Configuración!$F$14:$F$23,0))),"Este monitor no está en «Configuración»",IF(AND(H21&lt;&gt;"",N(INDEX(Configuración!$G$6:$G$11,R21))&gt;0,N(H21)&gt;N(INDEX(Configuración!$G$6:$G$11,R21))),"Más plazas que el aforo de la sala","")))))))))))))</f>
        <v/>
      </c>
      <c r="O21">
        <f>IF(C21="","",IFERROR(MATCH(C21,{"Lunes","Martes","Miércoles","Jueves","Viernes","Sábado","Domingo"},0),""))</f>
        <v>3</v>
      </c>
      <c r="P21">
        <f t="shared" si="2"/>
        <v>420</v>
      </c>
      <c r="Q21">
        <f t="shared" si="3"/>
        <v>480</v>
      </c>
      <c r="R21">
        <f>IF(F21="","",IFERROR(MATCH(F21,Configuración!$F$6:$F$11,0),""))</f>
        <v>1</v>
      </c>
      <c r="S21">
        <f t="shared" si="4"/>
        <v>4201</v>
      </c>
      <c r="T21">
        <f t="shared" si="5"/>
        <v>304201</v>
      </c>
      <c r="U21">
        <f>IF(E21="","",IFERROR(MATCH(E21,Configuración!$F$26:$F$37,0),""))</f>
        <v>1</v>
      </c>
    </row>
    <row r="22" spans="2:21" ht="18" customHeight="1" x14ac:dyDescent="0.2">
      <c r="B22" s="57">
        <f t="shared" si="0"/>
        <v>17</v>
      </c>
      <c r="C22" s="30" t="s">
        <v>112</v>
      </c>
      <c r="D22" s="58">
        <v>0.375</v>
      </c>
      <c r="E22" s="30" t="s">
        <v>81</v>
      </c>
      <c r="F22" s="30" t="s">
        <v>48</v>
      </c>
      <c r="G22" s="30" t="s">
        <v>65</v>
      </c>
      <c r="H22" s="31"/>
      <c r="I22" s="32">
        <f>IF(E22="","",IF(H22&lt;&gt;"",H22,IFERROR(INDEX(Configuración!$G$6:$G$11,R22),"")))</f>
        <v>12</v>
      </c>
      <c r="J22" s="32">
        <f>IF(OR(E22="",U22=""),"",IF(INDEX(Configuración!$G$26:$G$37,U22)="","",INDEX(Configuración!$G$26:$G$37,U22)))</f>
        <v>55</v>
      </c>
      <c r="K22" s="59">
        <f t="shared" si="1"/>
        <v>0.41319444444444442</v>
      </c>
      <c r="L22" s="60" t="str">
        <f>IF(D22="","",IFERROR(INDEX(Configuración!$B$24:$B$29,MATCH(D22,Configuración!$C$24:$C$29,1)),""))</f>
        <v>Mañana</v>
      </c>
      <c r="M22" s="61">
        <f>IF(OR(G22="",J22=""),"",IFERROR(INDEX(Configuración!$G$14:$G$23,MATCH(G22,Configuración!$F$14:$F$23,0))*J22/60,""))</f>
        <v>20.166666666666668</v>
      </c>
      <c r="N22" s="62" t="str">
        <f>IF(COUNTA(C22:H22)=0,"",IF(C22="","Falta el día",IF(D22="","Falta la hora",IF(E22="","Falta la actividad",IF(F22="","Falta la sala",IF(U22="","Esta actividad no está en «Configuración»",IF(R22="","Esta sala no está en «Configuración»",IF(O22="","Elige el día en la lista",IF(P22="","Escribe la hora así: 19:00",IF(COUNTIFS($O$6:$O$65,O22,$R$6:$R$65,R22,$P$6:$P$65,"&lt;"&amp;Q22,$Q$6:$Q$65,"&gt;"&amp;P22)&gt;1,"Se solapa con otra clase en la misma sala",IF(AND(G22&lt;&gt;"",COUNTIFS($O$6:$O$65,O22,$G$6:$G$65,G22,$P$6:$P$65,"&lt;"&amp;Q22,$Q$6:$Q$65,"&gt;"&amp;P22)&gt;1),"El monitor tiene otra clase a la vez",IF(AND(G22&lt;&gt;"",ISNA(MATCH(G22,Configuración!$F$14:$F$23,0))),"Este monitor no está en «Configuración»",IF(AND(H22&lt;&gt;"",N(INDEX(Configuración!$G$6:$G$11,R22))&gt;0,N(H22)&gt;N(INDEX(Configuración!$G$6:$G$11,R22))),"Más plazas que el aforo de la sala","")))))))))))))</f>
        <v/>
      </c>
      <c r="O22">
        <f>IF(C22="","",IFERROR(MATCH(C22,{"Lunes","Martes","Miércoles","Jueves","Viernes","Sábado","Domingo"},0),""))</f>
        <v>3</v>
      </c>
      <c r="P22">
        <f t="shared" si="2"/>
        <v>540</v>
      </c>
      <c r="Q22">
        <f t="shared" si="3"/>
        <v>595</v>
      </c>
      <c r="R22">
        <f>IF(F22="","",IFERROR(MATCH(F22,Configuración!$F$6:$F$11,0),""))</f>
        <v>2</v>
      </c>
      <c r="S22">
        <f t="shared" si="4"/>
        <v>5402</v>
      </c>
      <c r="T22">
        <f t="shared" si="5"/>
        <v>305402</v>
      </c>
      <c r="U22">
        <f>IF(E22="","",IFERROR(MATCH(E22,Configuración!$F$26:$F$37,0),""))</f>
        <v>3</v>
      </c>
    </row>
    <row r="23" spans="2:21" ht="18" customHeight="1" x14ac:dyDescent="0.2">
      <c r="B23" s="57">
        <f t="shared" si="0"/>
        <v>18</v>
      </c>
      <c r="C23" s="30" t="s">
        <v>112</v>
      </c>
      <c r="D23" s="58">
        <v>0.58333333333333337</v>
      </c>
      <c r="E23" s="30" t="s">
        <v>79</v>
      </c>
      <c r="F23" s="30" t="s">
        <v>45</v>
      </c>
      <c r="G23" s="30" t="s">
        <v>63</v>
      </c>
      <c r="H23" s="31"/>
      <c r="I23" s="32">
        <f>IF(E23="","",IF(H23&lt;&gt;"",H23,IFERROR(INDEX(Configuración!$G$6:$G$11,R23),"")))</f>
        <v>16</v>
      </c>
      <c r="J23" s="32">
        <f>IF(OR(E23="",U23=""),"",IF(INDEX(Configuración!$G$26:$G$37,U23)="","",INDEX(Configuración!$G$26:$G$37,U23)))</f>
        <v>45</v>
      </c>
      <c r="K23" s="59">
        <f t="shared" si="1"/>
        <v>0.61458333333333337</v>
      </c>
      <c r="L23" s="60" t="str">
        <f>IF(D23="","",IFERROR(INDEX(Configuración!$B$24:$B$29,MATCH(D23,Configuración!$C$24:$C$29,1)),""))</f>
        <v>Mediodía</v>
      </c>
      <c r="M23" s="61">
        <f>IF(OR(G23="",J23=""),"",IFERROR(INDEX(Configuración!$G$14:$G$23,MATCH(G23,Configuración!$F$14:$F$23,0))*J23/60,""))</f>
        <v>12</v>
      </c>
      <c r="N23" s="62" t="str">
        <f>IF(COUNTA(C23:H23)=0,"",IF(C23="","Falta el día",IF(D23="","Falta la hora",IF(E23="","Falta la actividad",IF(F23="","Falta la sala",IF(U23="","Esta actividad no está en «Configuración»",IF(R23="","Esta sala no está en «Configuración»",IF(O23="","Elige el día en la lista",IF(P23="","Escribe la hora así: 19:00",IF(COUNTIFS($O$6:$O$65,O23,$R$6:$R$65,R23,$P$6:$P$65,"&lt;"&amp;Q23,$Q$6:$Q$65,"&gt;"&amp;P23)&gt;1,"Se solapa con otra clase en la misma sala",IF(AND(G23&lt;&gt;"",COUNTIFS($O$6:$O$65,O23,$G$6:$G$65,G23,$P$6:$P$65,"&lt;"&amp;Q23,$Q$6:$Q$65,"&gt;"&amp;P23)&gt;1),"El monitor tiene otra clase a la vez",IF(AND(G23&lt;&gt;"",ISNA(MATCH(G23,Configuración!$F$14:$F$23,0))),"Este monitor no está en «Configuración»",IF(AND(H23&lt;&gt;"",N(INDEX(Configuración!$G$6:$G$11,R23))&gt;0,N(H23)&gt;N(INDEX(Configuración!$G$6:$G$11,R23))),"Más plazas que el aforo de la sala","")))))))))))))</f>
        <v/>
      </c>
      <c r="O23">
        <f>IF(C23="","",IFERROR(MATCH(C23,{"Lunes","Martes","Miércoles","Jueves","Viernes","Sábado","Domingo"},0),""))</f>
        <v>3</v>
      </c>
      <c r="P23">
        <f t="shared" si="2"/>
        <v>840</v>
      </c>
      <c r="Q23">
        <f t="shared" si="3"/>
        <v>885</v>
      </c>
      <c r="R23">
        <f>IF(F23="","",IFERROR(MATCH(F23,Configuración!$F$6:$F$11,0),""))</f>
        <v>1</v>
      </c>
      <c r="S23">
        <f t="shared" si="4"/>
        <v>8401</v>
      </c>
      <c r="T23">
        <f t="shared" si="5"/>
        <v>308401</v>
      </c>
      <c r="U23">
        <f>IF(E23="","",IFERROR(MATCH(E23,Configuración!$F$26:$F$37,0),""))</f>
        <v>2</v>
      </c>
    </row>
    <row r="24" spans="2:21" ht="18" customHeight="1" x14ac:dyDescent="0.2">
      <c r="B24" s="57">
        <f t="shared" si="0"/>
        <v>19</v>
      </c>
      <c r="C24" s="30" t="s">
        <v>112</v>
      </c>
      <c r="D24" s="58">
        <v>0.75</v>
      </c>
      <c r="E24" s="30" t="s">
        <v>81</v>
      </c>
      <c r="F24" s="30" t="s">
        <v>48</v>
      </c>
      <c r="G24" s="30" t="s">
        <v>65</v>
      </c>
      <c r="H24" s="31"/>
      <c r="I24" s="32">
        <f>IF(E24="","",IF(H24&lt;&gt;"",H24,IFERROR(INDEX(Configuración!$G$6:$G$11,R24),"")))</f>
        <v>12</v>
      </c>
      <c r="J24" s="32">
        <f>IF(OR(E24="",U24=""),"",IF(INDEX(Configuración!$G$26:$G$37,U24)="","",INDEX(Configuración!$G$26:$G$37,U24)))</f>
        <v>55</v>
      </c>
      <c r="K24" s="59">
        <f t="shared" si="1"/>
        <v>0.78819444444444442</v>
      </c>
      <c r="L24" s="60" t="str">
        <f>IF(D24="","",IFERROR(INDEX(Configuración!$B$24:$B$29,MATCH(D24,Configuración!$C$24:$C$29,1)),""))</f>
        <v>Tarde</v>
      </c>
      <c r="M24" s="61">
        <f>IF(OR(G24="",J24=""),"",IFERROR(INDEX(Configuración!$G$14:$G$23,MATCH(G24,Configuración!$F$14:$F$23,0))*J24/60,""))</f>
        <v>20.166666666666668</v>
      </c>
      <c r="N24" s="62" t="str">
        <f>IF(COUNTA(C24:H24)=0,"",IF(C24="","Falta el día",IF(D24="","Falta la hora",IF(E24="","Falta la actividad",IF(F24="","Falta la sala",IF(U24="","Esta actividad no está en «Configuración»",IF(R24="","Esta sala no está en «Configuración»",IF(O24="","Elige el día en la lista",IF(P24="","Escribe la hora así: 19:00",IF(COUNTIFS($O$6:$O$65,O24,$R$6:$R$65,R24,$P$6:$P$65,"&lt;"&amp;Q24,$Q$6:$Q$65,"&gt;"&amp;P24)&gt;1,"Se solapa con otra clase en la misma sala",IF(AND(G24&lt;&gt;"",COUNTIFS($O$6:$O$65,O24,$G$6:$G$65,G24,$P$6:$P$65,"&lt;"&amp;Q24,$Q$6:$Q$65,"&gt;"&amp;P24)&gt;1),"El monitor tiene otra clase a la vez",IF(AND(G24&lt;&gt;"",ISNA(MATCH(G24,Configuración!$F$14:$F$23,0))),"Este monitor no está en «Configuración»",IF(AND(H24&lt;&gt;"",N(INDEX(Configuración!$G$6:$G$11,R24))&gt;0,N(H24)&gt;N(INDEX(Configuración!$G$6:$G$11,R24))),"Más plazas que el aforo de la sala","")))))))))))))</f>
        <v/>
      </c>
      <c r="O24">
        <f>IF(C24="","",IFERROR(MATCH(C24,{"Lunes","Martes","Miércoles","Jueves","Viernes","Sábado","Domingo"},0),""))</f>
        <v>3</v>
      </c>
      <c r="P24">
        <f t="shared" si="2"/>
        <v>1080</v>
      </c>
      <c r="Q24">
        <f t="shared" si="3"/>
        <v>1135</v>
      </c>
      <c r="R24">
        <f>IF(F24="","",IFERROR(MATCH(F24,Configuración!$F$6:$F$11,0),""))</f>
        <v>2</v>
      </c>
      <c r="S24">
        <f t="shared" si="4"/>
        <v>10802</v>
      </c>
      <c r="T24">
        <f t="shared" si="5"/>
        <v>310802</v>
      </c>
      <c r="U24">
        <f>IF(E24="","",IFERROR(MATCH(E24,Configuración!$F$26:$F$37,0),""))</f>
        <v>3</v>
      </c>
    </row>
    <row r="25" spans="2:21" ht="18" customHeight="1" x14ac:dyDescent="0.2">
      <c r="B25" s="57">
        <f t="shared" si="0"/>
        <v>20</v>
      </c>
      <c r="C25" s="30" t="s">
        <v>112</v>
      </c>
      <c r="D25" s="58">
        <v>0.79166666666666663</v>
      </c>
      <c r="E25" s="30" t="s">
        <v>77</v>
      </c>
      <c r="F25" s="30" t="s">
        <v>45</v>
      </c>
      <c r="G25" s="30" t="s">
        <v>60</v>
      </c>
      <c r="H25" s="31"/>
      <c r="I25" s="32">
        <f>IF(E25="","",IF(H25&lt;&gt;"",H25,IFERROR(INDEX(Configuración!$G$6:$G$11,R25),"")))</f>
        <v>16</v>
      </c>
      <c r="J25" s="32">
        <f>IF(OR(E25="",U25=""),"",IF(INDEX(Configuración!$G$26:$G$37,U25)="","",INDEX(Configuración!$G$26:$G$37,U25)))</f>
        <v>60</v>
      </c>
      <c r="K25" s="59">
        <f t="shared" si="1"/>
        <v>0.83333333333333326</v>
      </c>
      <c r="L25" s="60" t="str">
        <f>IF(D25="","",IFERROR(INDEX(Configuración!$B$24:$B$29,MATCH(D25,Configuración!$C$24:$C$29,1)),""))</f>
        <v>Tarde-noche</v>
      </c>
      <c r="M25" s="61">
        <f>IF(OR(G25="",J25=""),"",IFERROR(INDEX(Configuración!$G$14:$G$23,MATCH(G25,Configuración!$F$14:$F$23,0))*J25/60,""))</f>
        <v>20</v>
      </c>
      <c r="N25" s="62" t="str">
        <f>IF(COUNTA(C25:H25)=0,"",IF(C25="","Falta el día",IF(D25="","Falta la hora",IF(E25="","Falta la actividad",IF(F25="","Falta la sala",IF(U25="","Esta actividad no está en «Configuración»",IF(R25="","Esta sala no está en «Configuración»",IF(O25="","Elige el día en la lista",IF(P25="","Escribe la hora así: 19:00",IF(COUNTIFS($O$6:$O$65,O25,$R$6:$R$65,R25,$P$6:$P$65,"&lt;"&amp;Q25,$Q$6:$Q$65,"&gt;"&amp;P25)&gt;1,"Se solapa con otra clase en la misma sala",IF(AND(G25&lt;&gt;"",COUNTIFS($O$6:$O$65,O25,$G$6:$G$65,G25,$P$6:$P$65,"&lt;"&amp;Q25,$Q$6:$Q$65,"&gt;"&amp;P25)&gt;1),"El monitor tiene otra clase a la vez",IF(AND(G25&lt;&gt;"",ISNA(MATCH(G25,Configuración!$F$14:$F$23,0))),"Este monitor no está en «Configuración»",IF(AND(H25&lt;&gt;"",N(INDEX(Configuración!$G$6:$G$11,R25))&gt;0,N(H25)&gt;N(INDEX(Configuración!$G$6:$G$11,R25))),"Más plazas que el aforo de la sala","")))))))))))))</f>
        <v/>
      </c>
      <c r="O25">
        <f>IF(C25="","",IFERROR(MATCH(C25,{"Lunes","Martes","Miércoles","Jueves","Viernes","Sábado","Domingo"},0),""))</f>
        <v>3</v>
      </c>
      <c r="P25">
        <f t="shared" si="2"/>
        <v>1140</v>
      </c>
      <c r="Q25">
        <f t="shared" si="3"/>
        <v>1200</v>
      </c>
      <c r="R25">
        <f>IF(F25="","",IFERROR(MATCH(F25,Configuración!$F$6:$F$11,0),""))</f>
        <v>1</v>
      </c>
      <c r="S25">
        <f t="shared" si="4"/>
        <v>11401</v>
      </c>
      <c r="T25">
        <f t="shared" si="5"/>
        <v>311401</v>
      </c>
      <c r="U25">
        <f>IF(E25="","",IFERROR(MATCH(E25,Configuración!$F$26:$F$37,0),""))</f>
        <v>1</v>
      </c>
    </row>
    <row r="26" spans="2:21" ht="18" customHeight="1" x14ac:dyDescent="0.2">
      <c r="B26" s="57">
        <f t="shared" si="0"/>
        <v>21</v>
      </c>
      <c r="C26" s="30" t="s">
        <v>112</v>
      </c>
      <c r="D26" s="58">
        <v>0.79166666666666663</v>
      </c>
      <c r="E26" s="30" t="s">
        <v>85</v>
      </c>
      <c r="F26" s="30" t="s">
        <v>48</v>
      </c>
      <c r="G26" s="30" t="s">
        <v>63</v>
      </c>
      <c r="H26" s="31"/>
      <c r="I26" s="32">
        <f>IF(E26="","",IF(H26&lt;&gt;"",H26,IFERROR(INDEX(Configuración!$G$6:$G$11,R26),"")))</f>
        <v>12</v>
      </c>
      <c r="J26" s="32">
        <f>IF(OR(E26="",U26=""),"",IF(INDEX(Configuración!$G$26:$G$37,U26)="","",INDEX(Configuración!$G$26:$G$37,U26)))</f>
        <v>45</v>
      </c>
      <c r="K26" s="59">
        <f t="shared" si="1"/>
        <v>0.82291666666666663</v>
      </c>
      <c r="L26" s="60" t="str">
        <f>IF(D26="","",IFERROR(INDEX(Configuración!$B$24:$B$29,MATCH(D26,Configuración!$C$24:$C$29,1)),""))</f>
        <v>Tarde-noche</v>
      </c>
      <c r="M26" s="61">
        <f>IF(OR(G26="",J26=""),"",IFERROR(INDEX(Configuración!$G$14:$G$23,MATCH(G26,Configuración!$F$14:$F$23,0))*J26/60,""))</f>
        <v>12</v>
      </c>
      <c r="N26" s="62" t="str">
        <f>IF(COUNTA(C26:H26)=0,"",IF(C26="","Falta el día",IF(D26="","Falta la hora",IF(E26="","Falta la actividad",IF(F26="","Falta la sala",IF(U26="","Esta actividad no está en «Configuración»",IF(R26="","Esta sala no está en «Configuración»",IF(O26="","Elige el día en la lista",IF(P26="","Escribe la hora así: 19:00",IF(COUNTIFS($O$6:$O$65,O26,$R$6:$R$65,R26,$P$6:$P$65,"&lt;"&amp;Q26,$Q$6:$Q$65,"&gt;"&amp;P26)&gt;1,"Se solapa con otra clase en la misma sala",IF(AND(G26&lt;&gt;"",COUNTIFS($O$6:$O$65,O26,$G$6:$G$65,G26,$P$6:$P$65,"&lt;"&amp;Q26,$Q$6:$Q$65,"&gt;"&amp;P26)&gt;1),"El monitor tiene otra clase a la vez",IF(AND(G26&lt;&gt;"",ISNA(MATCH(G26,Configuración!$F$14:$F$23,0))),"Este monitor no está en «Configuración»",IF(AND(H26&lt;&gt;"",N(INDEX(Configuración!$G$6:$G$11,R26))&gt;0,N(H26)&gt;N(INDEX(Configuración!$G$6:$G$11,R26))),"Más plazas que el aforo de la sala","")))))))))))))</f>
        <v/>
      </c>
      <c r="O26">
        <f>IF(C26="","",IFERROR(MATCH(C26,{"Lunes","Martes","Miércoles","Jueves","Viernes","Sábado","Domingo"},0),""))</f>
        <v>3</v>
      </c>
      <c r="P26">
        <f t="shared" si="2"/>
        <v>1140</v>
      </c>
      <c r="Q26">
        <f t="shared" si="3"/>
        <v>1185</v>
      </c>
      <c r="R26">
        <f>IF(F26="","",IFERROR(MATCH(F26,Configuración!$F$6:$F$11,0),""))</f>
        <v>2</v>
      </c>
      <c r="S26">
        <f t="shared" si="4"/>
        <v>11402</v>
      </c>
      <c r="T26">
        <f t="shared" si="5"/>
        <v>311402</v>
      </c>
      <c r="U26">
        <f>IF(E26="","",IFERROR(MATCH(E26,Configuración!$F$26:$F$37,0),""))</f>
        <v>5</v>
      </c>
    </row>
    <row r="27" spans="2:21" ht="18" customHeight="1" x14ac:dyDescent="0.2">
      <c r="B27" s="57">
        <f t="shared" si="0"/>
        <v>22</v>
      </c>
      <c r="C27" s="30" t="s">
        <v>112</v>
      </c>
      <c r="D27" s="58">
        <v>0.83333333333333337</v>
      </c>
      <c r="E27" s="30" t="s">
        <v>88</v>
      </c>
      <c r="F27" s="30" t="s">
        <v>45</v>
      </c>
      <c r="G27" s="30" t="s">
        <v>60</v>
      </c>
      <c r="H27" s="31"/>
      <c r="I27" s="32">
        <f>IF(E27="","",IF(H27&lt;&gt;"",H27,IFERROR(INDEX(Configuración!$G$6:$G$11,R27),"")))</f>
        <v>16</v>
      </c>
      <c r="J27" s="32">
        <f>IF(OR(E27="",U27=""),"",IF(INDEX(Configuración!$G$26:$G$37,U27)="","",INDEX(Configuración!$G$26:$G$37,U27)))</f>
        <v>60</v>
      </c>
      <c r="K27" s="59">
        <f t="shared" si="1"/>
        <v>0.875</v>
      </c>
      <c r="L27" s="60" t="str">
        <f>IF(D27="","",IFERROR(INDEX(Configuración!$B$24:$B$29,MATCH(D27,Configuración!$C$24:$C$29,1)),""))</f>
        <v>Tarde-noche</v>
      </c>
      <c r="M27" s="61">
        <f>IF(OR(G27="",J27=""),"",IFERROR(INDEX(Configuración!$G$14:$G$23,MATCH(G27,Configuración!$F$14:$F$23,0))*J27/60,""))</f>
        <v>20</v>
      </c>
      <c r="N27" s="62" t="str">
        <f>IF(COUNTA(C27:H27)=0,"",IF(C27="","Falta el día",IF(D27="","Falta la hora",IF(E27="","Falta la actividad",IF(F27="","Falta la sala",IF(U27="","Esta actividad no está en «Configuración»",IF(R27="","Esta sala no está en «Configuración»",IF(O27="","Elige el día en la lista",IF(P27="","Escribe la hora así: 19:00",IF(COUNTIFS($O$6:$O$65,O27,$R$6:$R$65,R27,$P$6:$P$65,"&lt;"&amp;Q27,$Q$6:$Q$65,"&gt;"&amp;P27)&gt;1,"Se solapa con otra clase en la misma sala",IF(AND(G27&lt;&gt;"",COUNTIFS($O$6:$O$65,O27,$G$6:$G$65,G27,$P$6:$P$65,"&lt;"&amp;Q27,$Q$6:$Q$65,"&gt;"&amp;P27)&gt;1),"El monitor tiene otra clase a la vez",IF(AND(G27&lt;&gt;"",ISNA(MATCH(G27,Configuración!$F$14:$F$23,0))),"Este monitor no está en «Configuración»",IF(AND(H27&lt;&gt;"",N(INDEX(Configuración!$G$6:$G$11,R27))&gt;0,N(H27)&gt;N(INDEX(Configuración!$G$6:$G$11,R27))),"Más plazas que el aforo de la sala","")))))))))))))</f>
        <v/>
      </c>
      <c r="O27">
        <f>IF(C27="","",IFERROR(MATCH(C27,{"Lunes","Martes","Miércoles","Jueves","Viernes","Sábado","Domingo"},0),""))</f>
        <v>3</v>
      </c>
      <c r="P27">
        <f t="shared" si="2"/>
        <v>1200</v>
      </c>
      <c r="Q27">
        <f t="shared" si="3"/>
        <v>1260</v>
      </c>
      <c r="R27">
        <f>IF(F27="","",IFERROR(MATCH(F27,Configuración!$F$6:$F$11,0),""))</f>
        <v>1</v>
      </c>
      <c r="S27">
        <f t="shared" si="4"/>
        <v>12001</v>
      </c>
      <c r="T27">
        <f t="shared" si="5"/>
        <v>312001</v>
      </c>
      <c r="U27">
        <f>IF(E27="","",IFERROR(MATCH(E27,Configuración!$F$26:$F$37,0),""))</f>
        <v>8</v>
      </c>
    </row>
    <row r="28" spans="2:21" ht="18" customHeight="1" x14ac:dyDescent="0.2">
      <c r="B28" s="57">
        <f t="shared" si="0"/>
        <v>23</v>
      </c>
      <c r="C28" s="30" t="s">
        <v>113</v>
      </c>
      <c r="D28" s="58">
        <v>0.29166666666666669</v>
      </c>
      <c r="E28" s="30" t="s">
        <v>77</v>
      </c>
      <c r="F28" s="30" t="s">
        <v>45</v>
      </c>
      <c r="G28" s="30" t="s">
        <v>59</v>
      </c>
      <c r="H28" s="31"/>
      <c r="I28" s="32">
        <f>IF(E28="","",IF(H28&lt;&gt;"",H28,IFERROR(INDEX(Configuración!$G$6:$G$11,R28),"")))</f>
        <v>16</v>
      </c>
      <c r="J28" s="32">
        <f>IF(OR(E28="",U28=""),"",IF(INDEX(Configuración!$G$26:$G$37,U28)="","",INDEX(Configuración!$G$26:$G$37,U28)))</f>
        <v>60</v>
      </c>
      <c r="K28" s="59">
        <f t="shared" si="1"/>
        <v>0.33333333333333337</v>
      </c>
      <c r="L28" s="60" t="str">
        <f>IF(D28="","",IFERROR(INDEX(Configuración!$B$24:$B$29,MATCH(D28,Configuración!$C$24:$C$29,1)),""))</f>
        <v>Primera hora</v>
      </c>
      <c r="M28" s="61">
        <f>IF(OR(G28="",J28=""),"",IFERROR(INDEX(Configuración!$G$14:$G$23,MATCH(G28,Configuración!$F$14:$F$23,0))*J28/60,""))</f>
        <v>18</v>
      </c>
      <c r="N28" s="62" t="str">
        <f>IF(COUNTA(C28:H28)=0,"",IF(C28="","Falta el día",IF(D28="","Falta la hora",IF(E28="","Falta la actividad",IF(F28="","Falta la sala",IF(U28="","Esta actividad no está en «Configuración»",IF(R28="","Esta sala no está en «Configuración»",IF(O28="","Elige el día en la lista",IF(P28="","Escribe la hora así: 19:00",IF(COUNTIFS($O$6:$O$65,O28,$R$6:$R$65,R28,$P$6:$P$65,"&lt;"&amp;Q28,$Q$6:$Q$65,"&gt;"&amp;P28)&gt;1,"Se solapa con otra clase en la misma sala",IF(AND(G28&lt;&gt;"",COUNTIFS($O$6:$O$65,O28,$G$6:$G$65,G28,$P$6:$P$65,"&lt;"&amp;Q28,$Q$6:$Q$65,"&gt;"&amp;P28)&gt;1),"El monitor tiene otra clase a la vez",IF(AND(G28&lt;&gt;"",ISNA(MATCH(G28,Configuración!$F$14:$F$23,0))),"Este monitor no está en «Configuración»",IF(AND(H28&lt;&gt;"",N(INDEX(Configuración!$G$6:$G$11,R28))&gt;0,N(H28)&gt;N(INDEX(Configuración!$G$6:$G$11,R28))),"Más plazas que el aforo de la sala","")))))))))))))</f>
        <v/>
      </c>
      <c r="O28">
        <f>IF(C28="","",IFERROR(MATCH(C28,{"Lunes","Martes","Miércoles","Jueves","Viernes","Sábado","Domingo"},0),""))</f>
        <v>4</v>
      </c>
      <c r="P28">
        <f t="shared" si="2"/>
        <v>420</v>
      </c>
      <c r="Q28">
        <f t="shared" si="3"/>
        <v>480</v>
      </c>
      <c r="R28">
        <f>IF(F28="","",IFERROR(MATCH(F28,Configuración!$F$6:$F$11,0),""))</f>
        <v>1</v>
      </c>
      <c r="S28">
        <f t="shared" si="4"/>
        <v>4201</v>
      </c>
      <c r="T28">
        <f t="shared" si="5"/>
        <v>404201</v>
      </c>
      <c r="U28">
        <f>IF(E28="","",IFERROR(MATCH(E28,Configuración!$F$26:$F$37,0),""))</f>
        <v>1</v>
      </c>
    </row>
    <row r="29" spans="2:21" ht="18" customHeight="1" x14ac:dyDescent="0.2">
      <c r="B29" s="57">
        <f t="shared" si="0"/>
        <v>24</v>
      </c>
      <c r="C29" s="30" t="s">
        <v>113</v>
      </c>
      <c r="D29" s="58">
        <v>0.41666666666666669</v>
      </c>
      <c r="E29" s="30" t="s">
        <v>90</v>
      </c>
      <c r="F29" s="30" t="s">
        <v>45</v>
      </c>
      <c r="G29" s="30" t="s">
        <v>60</v>
      </c>
      <c r="H29" s="31">
        <v>10</v>
      </c>
      <c r="I29" s="32">
        <f>IF(E29="","",IF(H29&lt;&gt;"",H29,IFERROR(INDEX(Configuración!$G$6:$G$11,R29),"")))</f>
        <v>10</v>
      </c>
      <c r="J29" s="32">
        <f>IF(OR(E29="",U29=""),"",IF(INDEX(Configuración!$G$26:$G$37,U29)="","",INDEX(Configuración!$G$26:$G$37,U29)))</f>
        <v>50</v>
      </c>
      <c r="K29" s="59">
        <f t="shared" si="1"/>
        <v>0.4513888888888889</v>
      </c>
      <c r="L29" s="60" t="str">
        <f>IF(D29="","",IFERROR(INDEX(Configuración!$B$24:$B$29,MATCH(D29,Configuración!$C$24:$C$29,1)),""))</f>
        <v>Mañana</v>
      </c>
      <c r="M29" s="61">
        <f>IF(OR(G29="",J29=""),"",IFERROR(INDEX(Configuración!$G$14:$G$23,MATCH(G29,Configuración!$F$14:$F$23,0))*J29/60,""))</f>
        <v>16.666666666666668</v>
      </c>
      <c r="N29" s="62" t="str">
        <f>IF(COUNTA(C29:H29)=0,"",IF(C29="","Falta el día",IF(D29="","Falta la hora",IF(E29="","Falta la actividad",IF(F29="","Falta la sala",IF(U29="","Esta actividad no está en «Configuración»",IF(R29="","Esta sala no está en «Configuración»",IF(O29="","Elige el día en la lista",IF(P29="","Escribe la hora así: 19:00",IF(COUNTIFS($O$6:$O$65,O29,$R$6:$R$65,R29,$P$6:$P$65,"&lt;"&amp;Q29,$Q$6:$Q$65,"&gt;"&amp;P29)&gt;1,"Se solapa con otra clase en la misma sala",IF(AND(G29&lt;&gt;"",COUNTIFS($O$6:$O$65,O29,$G$6:$G$65,G29,$P$6:$P$65,"&lt;"&amp;Q29,$Q$6:$Q$65,"&gt;"&amp;P29)&gt;1),"El monitor tiene otra clase a la vez",IF(AND(G29&lt;&gt;"",ISNA(MATCH(G29,Configuración!$F$14:$F$23,0))),"Este monitor no está en «Configuración»",IF(AND(H29&lt;&gt;"",N(INDEX(Configuración!$G$6:$G$11,R29))&gt;0,N(H29)&gt;N(INDEX(Configuración!$G$6:$G$11,R29))),"Más plazas que el aforo de la sala","")))))))))))))</f>
        <v/>
      </c>
      <c r="O29">
        <f>IF(C29="","",IFERROR(MATCH(C29,{"Lunes","Martes","Miércoles","Jueves","Viernes","Sábado","Domingo"},0),""))</f>
        <v>4</v>
      </c>
      <c r="P29">
        <f t="shared" si="2"/>
        <v>600</v>
      </c>
      <c r="Q29">
        <f t="shared" si="3"/>
        <v>650</v>
      </c>
      <c r="R29">
        <f>IF(F29="","",IFERROR(MATCH(F29,Configuración!$F$6:$F$11,0),""))</f>
        <v>1</v>
      </c>
      <c r="S29">
        <f t="shared" si="4"/>
        <v>6001</v>
      </c>
      <c r="T29">
        <f t="shared" si="5"/>
        <v>406001</v>
      </c>
      <c r="U29">
        <f>IF(E29="","",IFERROR(MATCH(E29,Configuración!$F$26:$F$37,0),""))</f>
        <v>10</v>
      </c>
    </row>
    <row r="30" spans="2:21" ht="18" customHeight="1" x14ac:dyDescent="0.2">
      <c r="B30" s="57">
        <f t="shared" si="0"/>
        <v>25</v>
      </c>
      <c r="C30" s="30" t="s">
        <v>113</v>
      </c>
      <c r="D30" s="58">
        <v>0.42708333333333331</v>
      </c>
      <c r="E30" s="30" t="s">
        <v>86</v>
      </c>
      <c r="F30" s="30" t="s">
        <v>48</v>
      </c>
      <c r="G30" s="30" t="s">
        <v>61</v>
      </c>
      <c r="H30" s="31"/>
      <c r="I30" s="32">
        <f>IF(E30="","",IF(H30&lt;&gt;"",H30,IFERROR(INDEX(Configuración!$G$6:$G$11,R30),"")))</f>
        <v>12</v>
      </c>
      <c r="J30" s="32">
        <f>IF(OR(E30="",U30=""),"",IF(INDEX(Configuración!$G$26:$G$37,U30)="","",INDEX(Configuración!$G$26:$G$37,U30)))</f>
        <v>45</v>
      </c>
      <c r="K30" s="59">
        <f t="shared" si="1"/>
        <v>0.45833333333333331</v>
      </c>
      <c r="L30" s="60" t="str">
        <f>IF(D30="","",IFERROR(INDEX(Configuración!$B$24:$B$29,MATCH(D30,Configuración!$C$24:$C$29,1)),""))</f>
        <v>Mañana</v>
      </c>
      <c r="M30" s="61">
        <f>IF(OR(G30="",J30=""),"",IFERROR(INDEX(Configuración!$G$14:$G$23,MATCH(G30,Configuración!$F$14:$F$23,0))*J30/60,""))</f>
        <v>12.75</v>
      </c>
      <c r="N30" s="62" t="str">
        <f>IF(COUNTA(C30:H30)=0,"",IF(C30="","Falta el día",IF(D30="","Falta la hora",IF(E30="","Falta la actividad",IF(F30="","Falta la sala",IF(U30="","Esta actividad no está en «Configuración»",IF(R30="","Esta sala no está en «Configuración»",IF(O30="","Elige el día en la lista",IF(P30="","Escribe la hora así: 19:00",IF(COUNTIFS($O$6:$O$65,O30,$R$6:$R$65,R30,$P$6:$P$65,"&lt;"&amp;Q30,$Q$6:$Q$65,"&gt;"&amp;P30)&gt;1,"Se solapa con otra clase en la misma sala",IF(AND(G30&lt;&gt;"",COUNTIFS($O$6:$O$65,O30,$G$6:$G$65,G30,$P$6:$P$65,"&lt;"&amp;Q30,$Q$6:$Q$65,"&gt;"&amp;P30)&gt;1),"El monitor tiene otra clase a la vez",IF(AND(G30&lt;&gt;"",ISNA(MATCH(G30,Configuración!$F$14:$F$23,0))),"Este monitor no está en «Configuración»",IF(AND(H30&lt;&gt;"",N(INDEX(Configuración!$G$6:$G$11,R30))&gt;0,N(H30)&gt;N(INDEX(Configuración!$G$6:$G$11,R30))),"Más plazas que el aforo de la sala","")))))))))))))</f>
        <v/>
      </c>
      <c r="O30">
        <f>IF(C30="","",IFERROR(MATCH(C30,{"Lunes","Martes","Miércoles","Jueves","Viernes","Sábado","Domingo"},0),""))</f>
        <v>4</v>
      </c>
      <c r="P30">
        <f t="shared" si="2"/>
        <v>615</v>
      </c>
      <c r="Q30">
        <f t="shared" si="3"/>
        <v>660</v>
      </c>
      <c r="R30">
        <f>IF(F30="","",IFERROR(MATCH(F30,Configuración!$F$6:$F$11,0),""))</f>
        <v>2</v>
      </c>
      <c r="S30">
        <f t="shared" si="4"/>
        <v>6152</v>
      </c>
      <c r="T30">
        <f t="shared" si="5"/>
        <v>406152</v>
      </c>
      <c r="U30">
        <f>IF(E30="","",IFERROR(MATCH(E30,Configuración!$F$26:$F$37,0),""))</f>
        <v>6</v>
      </c>
    </row>
    <row r="31" spans="2:21" ht="18" customHeight="1" x14ac:dyDescent="0.2">
      <c r="B31" s="57">
        <f t="shared" si="0"/>
        <v>26</v>
      </c>
      <c r="C31" s="30" t="s">
        <v>113</v>
      </c>
      <c r="D31" s="58">
        <v>0.59375</v>
      </c>
      <c r="E31" s="30" t="s">
        <v>89</v>
      </c>
      <c r="F31" s="30" t="s">
        <v>48</v>
      </c>
      <c r="G31" s="30" t="s">
        <v>63</v>
      </c>
      <c r="H31" s="31"/>
      <c r="I31" s="32">
        <f>IF(E31="","",IF(H31&lt;&gt;"",H31,IFERROR(INDEX(Configuración!$G$6:$G$11,R31),"")))</f>
        <v>12</v>
      </c>
      <c r="J31" s="32">
        <f>IF(OR(E31="",U31=""),"",IF(INDEX(Configuración!$G$26:$G$37,U31)="","",INDEX(Configuración!$G$26:$G$37,U31)))</f>
        <v>30</v>
      </c>
      <c r="K31" s="59">
        <f t="shared" si="1"/>
        <v>0.61458333333333337</v>
      </c>
      <c r="L31" s="60" t="str">
        <f>IF(D31="","",IFERROR(INDEX(Configuración!$B$24:$B$29,MATCH(D31,Configuración!$C$24:$C$29,1)),""))</f>
        <v>Mediodía</v>
      </c>
      <c r="M31" s="61">
        <f>IF(OR(G31="",J31=""),"",IFERROR(INDEX(Configuración!$G$14:$G$23,MATCH(G31,Configuración!$F$14:$F$23,0))*J31/60,""))</f>
        <v>8</v>
      </c>
      <c r="N31" s="62" t="str">
        <f>IF(COUNTA(C31:H31)=0,"",IF(C31="","Falta el día",IF(D31="","Falta la hora",IF(E31="","Falta la actividad",IF(F31="","Falta la sala",IF(U31="","Esta actividad no está en «Configuración»",IF(R31="","Esta sala no está en «Configuración»",IF(O31="","Elige el día en la lista",IF(P31="","Escribe la hora así: 19:00",IF(COUNTIFS($O$6:$O$65,O31,$R$6:$R$65,R31,$P$6:$P$65,"&lt;"&amp;Q31,$Q$6:$Q$65,"&gt;"&amp;P31)&gt;1,"Se solapa con otra clase en la misma sala",IF(AND(G31&lt;&gt;"",COUNTIFS($O$6:$O$65,O31,$G$6:$G$65,G31,$P$6:$P$65,"&lt;"&amp;Q31,$Q$6:$Q$65,"&gt;"&amp;P31)&gt;1),"El monitor tiene otra clase a la vez",IF(AND(G31&lt;&gt;"",ISNA(MATCH(G31,Configuración!$F$14:$F$23,0))),"Este monitor no está en «Configuración»",IF(AND(H31&lt;&gt;"",N(INDEX(Configuración!$G$6:$G$11,R31))&gt;0,N(H31)&gt;N(INDEX(Configuración!$G$6:$G$11,R31))),"Más plazas que el aforo de la sala","")))))))))))))</f>
        <v/>
      </c>
      <c r="O31">
        <f>IF(C31="","",IFERROR(MATCH(C31,{"Lunes","Martes","Miércoles","Jueves","Viernes","Sábado","Domingo"},0),""))</f>
        <v>4</v>
      </c>
      <c r="P31">
        <f t="shared" si="2"/>
        <v>855</v>
      </c>
      <c r="Q31">
        <f t="shared" si="3"/>
        <v>885</v>
      </c>
      <c r="R31">
        <f>IF(F31="","",IFERROR(MATCH(F31,Configuración!$F$6:$F$11,0),""))</f>
        <v>2</v>
      </c>
      <c r="S31">
        <f t="shared" si="4"/>
        <v>8552</v>
      </c>
      <c r="T31">
        <f t="shared" si="5"/>
        <v>408552</v>
      </c>
      <c r="U31">
        <f>IF(E31="","",IFERROR(MATCH(E31,Configuración!$F$26:$F$37,0),""))</f>
        <v>9</v>
      </c>
    </row>
    <row r="32" spans="2:21" ht="18" customHeight="1" x14ac:dyDescent="0.2">
      <c r="B32" s="57">
        <f t="shared" si="0"/>
        <v>27</v>
      </c>
      <c r="C32" s="30" t="s">
        <v>113</v>
      </c>
      <c r="D32" s="58">
        <v>0.79166666666666663</v>
      </c>
      <c r="E32" s="30" t="s">
        <v>77</v>
      </c>
      <c r="F32" s="30" t="s">
        <v>45</v>
      </c>
      <c r="G32" s="30" t="s">
        <v>59</v>
      </c>
      <c r="H32" s="31"/>
      <c r="I32" s="32">
        <f>IF(E32="","",IF(H32&lt;&gt;"",H32,IFERROR(INDEX(Configuración!$G$6:$G$11,R32),"")))</f>
        <v>16</v>
      </c>
      <c r="J32" s="32">
        <f>IF(OR(E32="",U32=""),"",IF(INDEX(Configuración!$G$26:$G$37,U32)="","",INDEX(Configuración!$G$26:$G$37,U32)))</f>
        <v>60</v>
      </c>
      <c r="K32" s="59">
        <f t="shared" si="1"/>
        <v>0.83333333333333326</v>
      </c>
      <c r="L32" s="60" t="str">
        <f>IF(D32="","",IFERROR(INDEX(Configuración!$B$24:$B$29,MATCH(D32,Configuración!$C$24:$C$29,1)),""))</f>
        <v>Tarde-noche</v>
      </c>
      <c r="M32" s="61">
        <f>IF(OR(G32="",J32=""),"",IFERROR(INDEX(Configuración!$G$14:$G$23,MATCH(G32,Configuración!$F$14:$F$23,0))*J32/60,""))</f>
        <v>18</v>
      </c>
      <c r="N32" s="62" t="str">
        <f>IF(COUNTA(C32:H32)=0,"",IF(C32="","Falta el día",IF(D32="","Falta la hora",IF(E32="","Falta la actividad",IF(F32="","Falta la sala",IF(U32="","Esta actividad no está en «Configuración»",IF(R32="","Esta sala no está en «Configuración»",IF(O32="","Elige el día en la lista",IF(P32="","Escribe la hora así: 19:00",IF(COUNTIFS($O$6:$O$65,O32,$R$6:$R$65,R32,$P$6:$P$65,"&lt;"&amp;Q32,$Q$6:$Q$65,"&gt;"&amp;P32)&gt;1,"Se solapa con otra clase en la misma sala",IF(AND(G32&lt;&gt;"",COUNTIFS($O$6:$O$65,O32,$G$6:$G$65,G32,$P$6:$P$65,"&lt;"&amp;Q32,$Q$6:$Q$65,"&gt;"&amp;P32)&gt;1),"El monitor tiene otra clase a la vez",IF(AND(G32&lt;&gt;"",ISNA(MATCH(G32,Configuración!$F$14:$F$23,0))),"Este monitor no está en «Configuración»",IF(AND(H32&lt;&gt;"",N(INDEX(Configuración!$G$6:$G$11,R32))&gt;0,N(H32)&gt;N(INDEX(Configuración!$G$6:$G$11,R32))),"Más plazas que el aforo de la sala","")))))))))))))</f>
        <v/>
      </c>
      <c r="O32">
        <f>IF(C32="","",IFERROR(MATCH(C32,{"Lunes","Martes","Miércoles","Jueves","Viernes","Sábado","Domingo"},0),""))</f>
        <v>4</v>
      </c>
      <c r="P32">
        <f t="shared" si="2"/>
        <v>1140</v>
      </c>
      <c r="Q32">
        <f t="shared" si="3"/>
        <v>1200</v>
      </c>
      <c r="R32">
        <f>IF(F32="","",IFERROR(MATCH(F32,Configuración!$F$6:$F$11,0),""))</f>
        <v>1</v>
      </c>
      <c r="S32">
        <f t="shared" si="4"/>
        <v>11401</v>
      </c>
      <c r="T32">
        <f t="shared" si="5"/>
        <v>411401</v>
      </c>
      <c r="U32">
        <f>IF(E32="","",IFERROR(MATCH(E32,Configuración!$F$26:$F$37,0),""))</f>
        <v>1</v>
      </c>
    </row>
    <row r="33" spans="2:21" ht="18" customHeight="1" x14ac:dyDescent="0.2">
      <c r="B33" s="57">
        <f t="shared" si="0"/>
        <v>28</v>
      </c>
      <c r="C33" s="30" t="s">
        <v>113</v>
      </c>
      <c r="D33" s="58">
        <v>0.79166666666666663</v>
      </c>
      <c r="E33" s="30" t="s">
        <v>81</v>
      </c>
      <c r="F33" s="30" t="s">
        <v>48</v>
      </c>
      <c r="G33" s="30" t="s">
        <v>65</v>
      </c>
      <c r="H33" s="31"/>
      <c r="I33" s="32">
        <f>IF(E33="","",IF(H33&lt;&gt;"",H33,IFERROR(INDEX(Configuración!$G$6:$G$11,R33),"")))</f>
        <v>12</v>
      </c>
      <c r="J33" s="32">
        <f>IF(OR(E33="",U33=""),"",IF(INDEX(Configuración!$G$26:$G$37,U33)="","",INDEX(Configuración!$G$26:$G$37,U33)))</f>
        <v>55</v>
      </c>
      <c r="K33" s="59">
        <f t="shared" si="1"/>
        <v>0.82986111111111105</v>
      </c>
      <c r="L33" s="60" t="str">
        <f>IF(D33="","",IFERROR(INDEX(Configuración!$B$24:$B$29,MATCH(D33,Configuración!$C$24:$C$29,1)),""))</f>
        <v>Tarde-noche</v>
      </c>
      <c r="M33" s="61">
        <f>IF(OR(G33="",J33=""),"",IFERROR(INDEX(Configuración!$G$14:$G$23,MATCH(G33,Configuración!$F$14:$F$23,0))*J33/60,""))</f>
        <v>20.166666666666668</v>
      </c>
      <c r="N33" s="62" t="str">
        <f>IF(COUNTA(C33:H33)=0,"",IF(C33="","Falta el día",IF(D33="","Falta la hora",IF(E33="","Falta la actividad",IF(F33="","Falta la sala",IF(U33="","Esta actividad no está en «Configuración»",IF(R33="","Esta sala no está en «Configuración»",IF(O33="","Elige el día en la lista",IF(P33="","Escribe la hora así: 19:00",IF(COUNTIFS($O$6:$O$65,O33,$R$6:$R$65,R33,$P$6:$P$65,"&lt;"&amp;Q33,$Q$6:$Q$65,"&gt;"&amp;P33)&gt;1,"Se solapa con otra clase en la misma sala",IF(AND(G33&lt;&gt;"",COUNTIFS($O$6:$O$65,O33,$G$6:$G$65,G33,$P$6:$P$65,"&lt;"&amp;Q33,$Q$6:$Q$65,"&gt;"&amp;P33)&gt;1),"El monitor tiene otra clase a la vez",IF(AND(G33&lt;&gt;"",ISNA(MATCH(G33,Configuración!$F$14:$F$23,0))),"Este monitor no está en «Configuración»",IF(AND(H33&lt;&gt;"",N(INDEX(Configuración!$G$6:$G$11,R33))&gt;0,N(H33)&gt;N(INDEX(Configuración!$G$6:$G$11,R33))),"Más plazas que el aforo de la sala","")))))))))))))</f>
        <v/>
      </c>
      <c r="O33">
        <f>IF(C33="","",IFERROR(MATCH(C33,{"Lunes","Martes","Miércoles","Jueves","Viernes","Sábado","Domingo"},0),""))</f>
        <v>4</v>
      </c>
      <c r="P33">
        <f t="shared" si="2"/>
        <v>1140</v>
      </c>
      <c r="Q33">
        <f t="shared" si="3"/>
        <v>1195</v>
      </c>
      <c r="R33">
        <f>IF(F33="","",IFERROR(MATCH(F33,Configuración!$F$6:$F$11,0),""))</f>
        <v>2</v>
      </c>
      <c r="S33">
        <f t="shared" si="4"/>
        <v>11402</v>
      </c>
      <c r="T33">
        <f t="shared" si="5"/>
        <v>411402</v>
      </c>
      <c r="U33">
        <f>IF(E33="","",IFERROR(MATCH(E33,Configuración!$F$26:$F$37,0),""))</f>
        <v>3</v>
      </c>
    </row>
    <row r="34" spans="2:21" ht="18" customHeight="1" x14ac:dyDescent="0.2">
      <c r="B34" s="57">
        <f t="shared" si="0"/>
        <v>29</v>
      </c>
      <c r="C34" s="30" t="s">
        <v>113</v>
      </c>
      <c r="D34" s="58">
        <v>0.83333333333333337</v>
      </c>
      <c r="E34" s="30" t="s">
        <v>83</v>
      </c>
      <c r="F34" s="30" t="s">
        <v>48</v>
      </c>
      <c r="G34" s="30" t="s">
        <v>61</v>
      </c>
      <c r="H34" s="31"/>
      <c r="I34" s="32">
        <f>IF(E34="","",IF(H34&lt;&gt;"",H34,IFERROR(INDEX(Configuración!$G$6:$G$11,R34),"")))</f>
        <v>12</v>
      </c>
      <c r="J34" s="32">
        <f>IF(OR(E34="",U34=""),"",IF(INDEX(Configuración!$G$26:$G$37,U34)="","",INDEX(Configuración!$G$26:$G$37,U34)))</f>
        <v>60</v>
      </c>
      <c r="K34" s="59">
        <f t="shared" si="1"/>
        <v>0.875</v>
      </c>
      <c r="L34" s="60" t="str">
        <f>IF(D34="","",IFERROR(INDEX(Configuración!$B$24:$B$29,MATCH(D34,Configuración!$C$24:$C$29,1)),""))</f>
        <v>Tarde-noche</v>
      </c>
      <c r="M34" s="61">
        <f>IF(OR(G34="",J34=""),"",IFERROR(INDEX(Configuración!$G$14:$G$23,MATCH(G34,Configuración!$F$14:$F$23,0))*J34/60,""))</f>
        <v>17</v>
      </c>
      <c r="N34" s="62" t="str">
        <f>IF(COUNTA(C34:H34)=0,"",IF(C34="","Falta el día",IF(D34="","Falta la hora",IF(E34="","Falta la actividad",IF(F34="","Falta la sala",IF(U34="","Esta actividad no está en «Configuración»",IF(R34="","Esta sala no está en «Configuración»",IF(O34="","Elige el día en la lista",IF(P34="","Escribe la hora así: 19:00",IF(COUNTIFS($O$6:$O$65,O34,$R$6:$R$65,R34,$P$6:$P$65,"&lt;"&amp;Q34,$Q$6:$Q$65,"&gt;"&amp;P34)&gt;1,"Se solapa con otra clase en la misma sala",IF(AND(G34&lt;&gt;"",COUNTIFS($O$6:$O$65,O34,$G$6:$G$65,G34,$P$6:$P$65,"&lt;"&amp;Q34,$Q$6:$Q$65,"&gt;"&amp;P34)&gt;1),"El monitor tiene otra clase a la vez",IF(AND(G34&lt;&gt;"",ISNA(MATCH(G34,Configuración!$F$14:$F$23,0))),"Este monitor no está en «Configuración»",IF(AND(H34&lt;&gt;"",N(INDEX(Configuración!$G$6:$G$11,R34))&gt;0,N(H34)&gt;N(INDEX(Configuración!$G$6:$G$11,R34))),"Más plazas que el aforo de la sala","")))))))))))))</f>
        <v/>
      </c>
      <c r="O34">
        <f>IF(C34="","",IFERROR(MATCH(C34,{"Lunes","Martes","Miércoles","Jueves","Viernes","Sábado","Domingo"},0),""))</f>
        <v>4</v>
      </c>
      <c r="P34">
        <f t="shared" si="2"/>
        <v>1200</v>
      </c>
      <c r="Q34">
        <f t="shared" si="3"/>
        <v>1260</v>
      </c>
      <c r="R34">
        <f>IF(F34="","",IFERROR(MATCH(F34,Configuración!$F$6:$F$11,0),""))</f>
        <v>2</v>
      </c>
      <c r="S34">
        <f t="shared" si="4"/>
        <v>12002</v>
      </c>
      <c r="T34">
        <f t="shared" si="5"/>
        <v>412002</v>
      </c>
      <c r="U34">
        <f>IF(E34="","",IFERROR(MATCH(E34,Configuración!$F$26:$F$37,0),""))</f>
        <v>4</v>
      </c>
    </row>
    <row r="35" spans="2:21" ht="18" customHeight="1" x14ac:dyDescent="0.2">
      <c r="B35" s="57">
        <f t="shared" si="0"/>
        <v>30</v>
      </c>
      <c r="C35" s="30" t="s">
        <v>113</v>
      </c>
      <c r="D35" s="58">
        <v>0.875</v>
      </c>
      <c r="E35" s="30" t="s">
        <v>77</v>
      </c>
      <c r="F35" s="30" t="s">
        <v>45</v>
      </c>
      <c r="G35" s="30" t="s">
        <v>63</v>
      </c>
      <c r="H35" s="31"/>
      <c r="I35" s="32">
        <f>IF(E35="","",IF(H35&lt;&gt;"",H35,IFERROR(INDEX(Configuración!$G$6:$G$11,R35),"")))</f>
        <v>16</v>
      </c>
      <c r="J35" s="32">
        <f>IF(OR(E35="",U35=""),"",IF(INDEX(Configuración!$G$26:$G$37,U35)="","",INDEX(Configuración!$G$26:$G$37,U35)))</f>
        <v>60</v>
      </c>
      <c r="K35" s="59">
        <f t="shared" si="1"/>
        <v>0.91666666666666663</v>
      </c>
      <c r="L35" s="60" t="str">
        <f>IF(D35="","",IFERROR(INDEX(Configuración!$B$24:$B$29,MATCH(D35,Configuración!$C$24:$C$29,1)),""))</f>
        <v>Noche</v>
      </c>
      <c r="M35" s="61">
        <f>IF(OR(G35="",J35=""),"",IFERROR(INDEX(Configuración!$G$14:$G$23,MATCH(G35,Configuración!$F$14:$F$23,0))*J35/60,""))</f>
        <v>16</v>
      </c>
      <c r="N35" s="62" t="str">
        <f>IF(COUNTA(C35:H35)=0,"",IF(C35="","Falta el día",IF(D35="","Falta la hora",IF(E35="","Falta la actividad",IF(F35="","Falta la sala",IF(U35="","Esta actividad no está en «Configuración»",IF(R35="","Esta sala no está en «Configuración»",IF(O35="","Elige el día en la lista",IF(P35="","Escribe la hora así: 19:00",IF(COUNTIFS($O$6:$O$65,O35,$R$6:$R$65,R35,$P$6:$P$65,"&lt;"&amp;Q35,$Q$6:$Q$65,"&gt;"&amp;P35)&gt;1,"Se solapa con otra clase en la misma sala",IF(AND(G35&lt;&gt;"",COUNTIFS($O$6:$O$65,O35,$G$6:$G$65,G35,$P$6:$P$65,"&lt;"&amp;Q35,$Q$6:$Q$65,"&gt;"&amp;P35)&gt;1),"El monitor tiene otra clase a la vez",IF(AND(G35&lt;&gt;"",ISNA(MATCH(G35,Configuración!$F$14:$F$23,0))),"Este monitor no está en «Configuración»",IF(AND(H35&lt;&gt;"",N(INDEX(Configuración!$G$6:$G$11,R35))&gt;0,N(H35)&gt;N(INDEX(Configuración!$G$6:$G$11,R35))),"Más plazas que el aforo de la sala","")))))))))))))</f>
        <v/>
      </c>
      <c r="O35">
        <f>IF(C35="","",IFERROR(MATCH(C35,{"Lunes","Martes","Miércoles","Jueves","Viernes","Sábado","Domingo"},0),""))</f>
        <v>4</v>
      </c>
      <c r="P35">
        <f t="shared" si="2"/>
        <v>1260</v>
      </c>
      <c r="Q35">
        <f t="shared" si="3"/>
        <v>1320</v>
      </c>
      <c r="R35">
        <f>IF(F35="","",IFERROR(MATCH(F35,Configuración!$F$6:$F$11,0),""))</f>
        <v>1</v>
      </c>
      <c r="S35">
        <f t="shared" si="4"/>
        <v>12601</v>
      </c>
      <c r="T35">
        <f t="shared" si="5"/>
        <v>412601</v>
      </c>
      <c r="U35">
        <f>IF(E35="","",IFERROR(MATCH(E35,Configuración!$F$26:$F$37,0),""))</f>
        <v>1</v>
      </c>
    </row>
    <row r="36" spans="2:21" ht="18" customHeight="1" x14ac:dyDescent="0.2">
      <c r="B36" s="57">
        <f t="shared" si="0"/>
        <v>31</v>
      </c>
      <c r="C36" s="30" t="s">
        <v>114</v>
      </c>
      <c r="D36" s="58">
        <v>0.29166666666666669</v>
      </c>
      <c r="E36" s="30" t="s">
        <v>77</v>
      </c>
      <c r="F36" s="30" t="s">
        <v>45</v>
      </c>
      <c r="G36" s="30" t="s">
        <v>59</v>
      </c>
      <c r="H36" s="31"/>
      <c r="I36" s="32">
        <f>IF(E36="","",IF(H36&lt;&gt;"",H36,IFERROR(INDEX(Configuración!$G$6:$G$11,R36),"")))</f>
        <v>16</v>
      </c>
      <c r="J36" s="32">
        <f>IF(OR(E36="",U36=""),"",IF(INDEX(Configuración!$G$26:$G$37,U36)="","",INDEX(Configuración!$G$26:$G$37,U36)))</f>
        <v>60</v>
      </c>
      <c r="K36" s="59">
        <f t="shared" si="1"/>
        <v>0.33333333333333337</v>
      </c>
      <c r="L36" s="60" t="str">
        <f>IF(D36="","",IFERROR(INDEX(Configuración!$B$24:$B$29,MATCH(D36,Configuración!$C$24:$C$29,1)),""))</f>
        <v>Primera hora</v>
      </c>
      <c r="M36" s="61">
        <f>IF(OR(G36="",J36=""),"",IFERROR(INDEX(Configuración!$G$14:$G$23,MATCH(G36,Configuración!$F$14:$F$23,0))*J36/60,""))</f>
        <v>18</v>
      </c>
      <c r="N36" s="62" t="str">
        <f>IF(COUNTA(C36:H36)=0,"",IF(C36="","Falta el día",IF(D36="","Falta la hora",IF(E36="","Falta la actividad",IF(F36="","Falta la sala",IF(U36="","Esta actividad no está en «Configuración»",IF(R36="","Esta sala no está en «Configuración»",IF(O36="","Elige el día en la lista",IF(P36="","Escribe la hora así: 19:00",IF(COUNTIFS($O$6:$O$65,O36,$R$6:$R$65,R36,$P$6:$P$65,"&lt;"&amp;Q36,$Q$6:$Q$65,"&gt;"&amp;P36)&gt;1,"Se solapa con otra clase en la misma sala",IF(AND(G36&lt;&gt;"",COUNTIFS($O$6:$O$65,O36,$G$6:$G$65,G36,$P$6:$P$65,"&lt;"&amp;Q36,$Q$6:$Q$65,"&gt;"&amp;P36)&gt;1),"El monitor tiene otra clase a la vez",IF(AND(G36&lt;&gt;"",ISNA(MATCH(G36,Configuración!$F$14:$F$23,0))),"Este monitor no está en «Configuración»",IF(AND(H36&lt;&gt;"",N(INDEX(Configuración!$G$6:$G$11,R36))&gt;0,N(H36)&gt;N(INDEX(Configuración!$G$6:$G$11,R36))),"Más plazas que el aforo de la sala","")))))))))))))</f>
        <v/>
      </c>
      <c r="O36">
        <f>IF(C36="","",IFERROR(MATCH(C36,{"Lunes","Martes","Miércoles","Jueves","Viernes","Sábado","Domingo"},0),""))</f>
        <v>5</v>
      </c>
      <c r="P36">
        <f t="shared" si="2"/>
        <v>420</v>
      </c>
      <c r="Q36">
        <f t="shared" si="3"/>
        <v>480</v>
      </c>
      <c r="R36">
        <f>IF(F36="","",IFERROR(MATCH(F36,Configuración!$F$6:$F$11,0),""))</f>
        <v>1</v>
      </c>
      <c r="S36">
        <f t="shared" si="4"/>
        <v>4201</v>
      </c>
      <c r="T36">
        <f t="shared" si="5"/>
        <v>504201</v>
      </c>
      <c r="U36">
        <f>IF(E36="","",IFERROR(MATCH(E36,Configuración!$F$26:$F$37,0),""))</f>
        <v>1</v>
      </c>
    </row>
    <row r="37" spans="2:21" ht="18" customHeight="1" x14ac:dyDescent="0.2">
      <c r="B37" s="57">
        <f t="shared" si="0"/>
        <v>32</v>
      </c>
      <c r="C37" s="30" t="s">
        <v>114</v>
      </c>
      <c r="D37" s="58">
        <v>0.375</v>
      </c>
      <c r="E37" s="30" t="s">
        <v>81</v>
      </c>
      <c r="F37" s="30" t="s">
        <v>48</v>
      </c>
      <c r="G37" s="30" t="s">
        <v>65</v>
      </c>
      <c r="H37" s="31"/>
      <c r="I37" s="32">
        <f>IF(E37="","",IF(H37&lt;&gt;"",H37,IFERROR(INDEX(Configuración!$G$6:$G$11,R37),"")))</f>
        <v>12</v>
      </c>
      <c r="J37" s="32">
        <f>IF(OR(E37="",U37=""),"",IF(INDEX(Configuración!$G$26:$G$37,U37)="","",INDEX(Configuración!$G$26:$G$37,U37)))</f>
        <v>55</v>
      </c>
      <c r="K37" s="59">
        <f t="shared" si="1"/>
        <v>0.41319444444444442</v>
      </c>
      <c r="L37" s="60" t="str">
        <f>IF(D37="","",IFERROR(INDEX(Configuración!$B$24:$B$29,MATCH(D37,Configuración!$C$24:$C$29,1)),""))</f>
        <v>Mañana</v>
      </c>
      <c r="M37" s="61">
        <f>IF(OR(G37="",J37=""),"",IFERROR(INDEX(Configuración!$G$14:$G$23,MATCH(G37,Configuración!$F$14:$F$23,0))*J37/60,""))</f>
        <v>20.166666666666668</v>
      </c>
      <c r="N37" s="62" t="str">
        <f>IF(COUNTA(C37:H37)=0,"",IF(C37="","Falta el día",IF(D37="","Falta la hora",IF(E37="","Falta la actividad",IF(F37="","Falta la sala",IF(U37="","Esta actividad no está en «Configuración»",IF(R37="","Esta sala no está en «Configuración»",IF(O37="","Elige el día en la lista",IF(P37="","Escribe la hora así: 19:00",IF(COUNTIFS($O$6:$O$65,O37,$R$6:$R$65,R37,$P$6:$P$65,"&lt;"&amp;Q37,$Q$6:$Q$65,"&gt;"&amp;P37)&gt;1,"Se solapa con otra clase en la misma sala",IF(AND(G37&lt;&gt;"",COUNTIFS($O$6:$O$65,O37,$G$6:$G$65,G37,$P$6:$P$65,"&lt;"&amp;Q37,$Q$6:$Q$65,"&gt;"&amp;P37)&gt;1),"El monitor tiene otra clase a la vez",IF(AND(G37&lt;&gt;"",ISNA(MATCH(G37,Configuración!$F$14:$F$23,0))),"Este monitor no está en «Configuración»",IF(AND(H37&lt;&gt;"",N(INDEX(Configuración!$G$6:$G$11,R37))&gt;0,N(H37)&gt;N(INDEX(Configuración!$G$6:$G$11,R37))),"Más plazas que el aforo de la sala","")))))))))))))</f>
        <v/>
      </c>
      <c r="O37">
        <f>IF(C37="","",IFERROR(MATCH(C37,{"Lunes","Martes","Miércoles","Jueves","Viernes","Sábado","Domingo"},0),""))</f>
        <v>5</v>
      </c>
      <c r="P37">
        <f t="shared" si="2"/>
        <v>540</v>
      </c>
      <c r="Q37">
        <f t="shared" si="3"/>
        <v>595</v>
      </c>
      <c r="R37">
        <f>IF(F37="","",IFERROR(MATCH(F37,Configuración!$F$6:$F$11,0),""))</f>
        <v>2</v>
      </c>
      <c r="S37">
        <f t="shared" si="4"/>
        <v>5402</v>
      </c>
      <c r="T37">
        <f t="shared" si="5"/>
        <v>505402</v>
      </c>
      <c r="U37">
        <f>IF(E37="","",IFERROR(MATCH(E37,Configuración!$F$26:$F$37,0),""))</f>
        <v>3</v>
      </c>
    </row>
    <row r="38" spans="2:21" ht="18" customHeight="1" x14ac:dyDescent="0.2">
      <c r="B38" s="57">
        <f t="shared" ref="B38:B65" si="6">IF(E38="","",ROW()-5)</f>
        <v>33</v>
      </c>
      <c r="C38" s="30" t="s">
        <v>114</v>
      </c>
      <c r="D38" s="58">
        <v>0.79166666666666663</v>
      </c>
      <c r="E38" s="30" t="s">
        <v>77</v>
      </c>
      <c r="F38" s="30" t="s">
        <v>45</v>
      </c>
      <c r="G38" s="30" t="s">
        <v>60</v>
      </c>
      <c r="H38" s="31"/>
      <c r="I38" s="32">
        <f>IF(E38="","",IF(H38&lt;&gt;"",H38,IFERROR(INDEX(Configuración!$G$6:$G$11,R38),"")))</f>
        <v>16</v>
      </c>
      <c r="J38" s="32">
        <f>IF(OR(E38="",U38=""),"",IF(INDEX(Configuración!$G$26:$G$37,U38)="","",INDEX(Configuración!$G$26:$G$37,U38)))</f>
        <v>60</v>
      </c>
      <c r="K38" s="59">
        <f t="shared" ref="K38:K69" si="7">IF(OR(D38="",J38=""),"",D38+J38/1440)</f>
        <v>0.83333333333333326</v>
      </c>
      <c r="L38" s="60" t="str">
        <f>IF(D38="","",IFERROR(INDEX(Configuración!$B$24:$B$29,MATCH(D38,Configuración!$C$24:$C$29,1)),""))</f>
        <v>Tarde-noche</v>
      </c>
      <c r="M38" s="61">
        <f>IF(OR(G38="",J38=""),"",IFERROR(INDEX(Configuración!$G$14:$G$23,MATCH(G38,Configuración!$F$14:$F$23,0))*J38/60,""))</f>
        <v>20</v>
      </c>
      <c r="N38" s="62" t="str">
        <f>IF(COUNTA(C38:H38)=0,"",IF(C38="","Falta el día",IF(D38="","Falta la hora",IF(E38="","Falta la actividad",IF(F38="","Falta la sala",IF(U38="","Esta actividad no está en «Configuración»",IF(R38="","Esta sala no está en «Configuración»",IF(O38="","Elige el día en la lista",IF(P38="","Escribe la hora así: 19:00",IF(COUNTIFS($O$6:$O$65,O38,$R$6:$R$65,R38,$P$6:$P$65,"&lt;"&amp;Q38,$Q$6:$Q$65,"&gt;"&amp;P38)&gt;1,"Se solapa con otra clase en la misma sala",IF(AND(G38&lt;&gt;"",COUNTIFS($O$6:$O$65,O38,$G$6:$G$65,G38,$P$6:$P$65,"&lt;"&amp;Q38,$Q$6:$Q$65,"&gt;"&amp;P38)&gt;1),"El monitor tiene otra clase a la vez",IF(AND(G38&lt;&gt;"",ISNA(MATCH(G38,Configuración!$F$14:$F$23,0))),"Este monitor no está en «Configuración»",IF(AND(H38&lt;&gt;"",N(INDEX(Configuración!$G$6:$G$11,R38))&gt;0,N(H38)&gt;N(INDEX(Configuración!$G$6:$G$11,R38))),"Más plazas que el aforo de la sala","")))))))))))))</f>
        <v/>
      </c>
      <c r="O38">
        <f>IF(C38="","",IFERROR(MATCH(C38,{"Lunes","Martes","Miércoles","Jueves","Viernes","Sábado","Domingo"},0),""))</f>
        <v>5</v>
      </c>
      <c r="P38">
        <f t="shared" ref="P38:P65" si="8">IF(D38="","",IFERROR(ROUND(D38*1440,0),""))</f>
        <v>1140</v>
      </c>
      <c r="Q38">
        <f t="shared" ref="Q38:Q69" si="9">IF(OR(P38="",J38=""),"",P38+J38)</f>
        <v>1200</v>
      </c>
      <c r="R38">
        <f>IF(F38="","",IFERROR(MATCH(F38,Configuración!$F$6:$F$11,0),""))</f>
        <v>1</v>
      </c>
      <c r="S38">
        <f t="shared" ref="S38:S69" si="10">IF(OR(O38="",P38="",R38="",E38=""),"",P38*10+R38)</f>
        <v>11401</v>
      </c>
      <c r="T38">
        <f t="shared" ref="T38:T69" si="11">IF(S38="","",O38*100000+S38)</f>
        <v>511401</v>
      </c>
      <c r="U38">
        <f>IF(E38="","",IFERROR(MATCH(E38,Configuración!$F$26:$F$37,0),""))</f>
        <v>1</v>
      </c>
    </row>
    <row r="39" spans="2:21" ht="18" customHeight="1" x14ac:dyDescent="0.2">
      <c r="B39" s="57">
        <f t="shared" si="6"/>
        <v>34</v>
      </c>
      <c r="C39" s="30" t="s">
        <v>114</v>
      </c>
      <c r="D39" s="58">
        <v>0.79166666666666663</v>
      </c>
      <c r="E39" s="30" t="s">
        <v>85</v>
      </c>
      <c r="F39" s="30" t="s">
        <v>48</v>
      </c>
      <c r="G39" s="30" t="s">
        <v>63</v>
      </c>
      <c r="H39" s="31"/>
      <c r="I39" s="32">
        <f>IF(E39="","",IF(H39&lt;&gt;"",H39,IFERROR(INDEX(Configuración!$G$6:$G$11,R39),"")))</f>
        <v>12</v>
      </c>
      <c r="J39" s="32">
        <f>IF(OR(E39="",U39=""),"",IF(INDEX(Configuración!$G$26:$G$37,U39)="","",INDEX(Configuración!$G$26:$G$37,U39)))</f>
        <v>45</v>
      </c>
      <c r="K39" s="59">
        <f t="shared" si="7"/>
        <v>0.82291666666666663</v>
      </c>
      <c r="L39" s="60" t="str">
        <f>IF(D39="","",IFERROR(INDEX(Configuración!$B$24:$B$29,MATCH(D39,Configuración!$C$24:$C$29,1)),""))</f>
        <v>Tarde-noche</v>
      </c>
      <c r="M39" s="61">
        <f>IF(OR(G39="",J39=""),"",IFERROR(INDEX(Configuración!$G$14:$G$23,MATCH(G39,Configuración!$F$14:$F$23,0))*J39/60,""))</f>
        <v>12</v>
      </c>
      <c r="N39" s="62" t="str">
        <f>IF(COUNTA(C39:H39)=0,"",IF(C39="","Falta el día",IF(D39="","Falta la hora",IF(E39="","Falta la actividad",IF(F39="","Falta la sala",IF(U39="","Esta actividad no está en «Configuración»",IF(R39="","Esta sala no está en «Configuración»",IF(O39="","Elige el día en la lista",IF(P39="","Escribe la hora así: 19:00",IF(COUNTIFS($O$6:$O$65,O39,$R$6:$R$65,R39,$P$6:$P$65,"&lt;"&amp;Q39,$Q$6:$Q$65,"&gt;"&amp;P39)&gt;1,"Se solapa con otra clase en la misma sala",IF(AND(G39&lt;&gt;"",COUNTIFS($O$6:$O$65,O39,$G$6:$G$65,G39,$P$6:$P$65,"&lt;"&amp;Q39,$Q$6:$Q$65,"&gt;"&amp;P39)&gt;1),"El monitor tiene otra clase a la vez",IF(AND(G39&lt;&gt;"",ISNA(MATCH(G39,Configuración!$F$14:$F$23,0))),"Este monitor no está en «Configuración»",IF(AND(H39&lt;&gt;"",N(INDEX(Configuración!$G$6:$G$11,R39))&gt;0,N(H39)&gt;N(INDEX(Configuración!$G$6:$G$11,R39))),"Más plazas que el aforo de la sala","")))))))))))))</f>
        <v/>
      </c>
      <c r="O39">
        <f>IF(C39="","",IFERROR(MATCH(C39,{"Lunes","Martes","Miércoles","Jueves","Viernes","Sábado","Domingo"},0),""))</f>
        <v>5</v>
      </c>
      <c r="P39">
        <f t="shared" si="8"/>
        <v>1140</v>
      </c>
      <c r="Q39">
        <f t="shared" si="9"/>
        <v>1185</v>
      </c>
      <c r="R39">
        <f>IF(F39="","",IFERROR(MATCH(F39,Configuración!$F$6:$F$11,0),""))</f>
        <v>2</v>
      </c>
      <c r="S39">
        <f t="shared" si="10"/>
        <v>11402</v>
      </c>
      <c r="T39">
        <f t="shared" si="11"/>
        <v>511402</v>
      </c>
      <c r="U39">
        <f>IF(E39="","",IFERROR(MATCH(E39,Configuración!$F$26:$F$37,0),""))</f>
        <v>5</v>
      </c>
    </row>
    <row r="40" spans="2:21" ht="18" customHeight="1" x14ac:dyDescent="0.2">
      <c r="B40" s="57">
        <f t="shared" si="6"/>
        <v>35</v>
      </c>
      <c r="C40" s="30" t="s">
        <v>115</v>
      </c>
      <c r="D40" s="58">
        <v>0.41666666666666669</v>
      </c>
      <c r="E40" s="30" t="s">
        <v>87</v>
      </c>
      <c r="F40" s="30" t="s">
        <v>45</v>
      </c>
      <c r="G40" s="30" t="s">
        <v>60</v>
      </c>
      <c r="H40" s="31"/>
      <c r="I40" s="32">
        <f>IF(E40="","",IF(H40&lt;&gt;"",H40,IFERROR(INDEX(Configuración!$G$6:$G$11,R40),"")))</f>
        <v>16</v>
      </c>
      <c r="J40" s="32">
        <f>IF(OR(E40="",U40=""),"",IF(INDEX(Configuración!$G$26:$G$37,U40)="","",INDEX(Configuración!$G$26:$G$37,U40)))</f>
        <v>90</v>
      </c>
      <c r="K40" s="59">
        <f t="shared" si="7"/>
        <v>0.47916666666666669</v>
      </c>
      <c r="L40" s="60" t="str">
        <f>IF(D40="","",IFERROR(INDEX(Configuración!$B$24:$B$29,MATCH(D40,Configuración!$C$24:$C$29,1)),""))</f>
        <v>Mañana</v>
      </c>
      <c r="M40" s="61">
        <f>IF(OR(G40="",J40=""),"",IFERROR(INDEX(Configuración!$G$14:$G$23,MATCH(G40,Configuración!$F$14:$F$23,0))*J40/60,""))</f>
        <v>30</v>
      </c>
      <c r="N40" s="62" t="str">
        <f>IF(COUNTA(C40:H40)=0,"",IF(C40="","Falta el día",IF(D40="","Falta la hora",IF(E40="","Falta la actividad",IF(F40="","Falta la sala",IF(U40="","Esta actividad no está en «Configuración»",IF(R40="","Esta sala no está en «Configuración»",IF(O40="","Elige el día en la lista",IF(P40="","Escribe la hora así: 19:00",IF(COUNTIFS($O$6:$O$65,O40,$R$6:$R$65,R40,$P$6:$P$65,"&lt;"&amp;Q40,$Q$6:$Q$65,"&gt;"&amp;P40)&gt;1,"Se solapa con otra clase en la misma sala",IF(AND(G40&lt;&gt;"",COUNTIFS($O$6:$O$65,O40,$G$6:$G$65,G40,$P$6:$P$65,"&lt;"&amp;Q40,$Q$6:$Q$65,"&gt;"&amp;P40)&gt;1),"El monitor tiene otra clase a la vez",IF(AND(G40&lt;&gt;"",ISNA(MATCH(G40,Configuración!$F$14:$F$23,0))),"Este monitor no está en «Configuración»",IF(AND(H40&lt;&gt;"",N(INDEX(Configuración!$G$6:$G$11,R40))&gt;0,N(H40)&gt;N(INDEX(Configuración!$G$6:$G$11,R40))),"Más plazas que el aforo de la sala","")))))))))))))</f>
        <v/>
      </c>
      <c r="O40">
        <f>IF(C40="","",IFERROR(MATCH(C40,{"Lunes","Martes","Miércoles","Jueves","Viernes","Sábado","Domingo"},0),""))</f>
        <v>6</v>
      </c>
      <c r="P40">
        <f t="shared" si="8"/>
        <v>600</v>
      </c>
      <c r="Q40">
        <f t="shared" si="9"/>
        <v>690</v>
      </c>
      <c r="R40">
        <f>IF(F40="","",IFERROR(MATCH(F40,Configuración!$F$6:$F$11,0),""))</f>
        <v>1</v>
      </c>
      <c r="S40">
        <f t="shared" si="10"/>
        <v>6001</v>
      </c>
      <c r="T40">
        <f t="shared" si="11"/>
        <v>606001</v>
      </c>
      <c r="U40">
        <f>IF(E40="","",IFERROR(MATCH(E40,Configuración!$F$26:$F$37,0),""))</f>
        <v>7</v>
      </c>
    </row>
    <row r="41" spans="2:21" ht="18" customHeight="1" x14ac:dyDescent="0.2">
      <c r="B41" s="57">
        <f t="shared" si="6"/>
        <v>36</v>
      </c>
      <c r="C41" s="30" t="s">
        <v>115</v>
      </c>
      <c r="D41" s="58">
        <v>0.4375</v>
      </c>
      <c r="E41" s="30" t="s">
        <v>83</v>
      </c>
      <c r="F41" s="30" t="s">
        <v>48</v>
      </c>
      <c r="G41" s="30" t="s">
        <v>61</v>
      </c>
      <c r="H41" s="31"/>
      <c r="I41" s="32">
        <f>IF(E41="","",IF(H41&lt;&gt;"",H41,IFERROR(INDEX(Configuración!$G$6:$G$11,R41),"")))</f>
        <v>12</v>
      </c>
      <c r="J41" s="32">
        <f>IF(OR(E41="",U41=""),"",IF(INDEX(Configuración!$G$26:$G$37,U41)="","",INDEX(Configuración!$G$26:$G$37,U41)))</f>
        <v>60</v>
      </c>
      <c r="K41" s="59">
        <f t="shared" si="7"/>
        <v>0.47916666666666669</v>
      </c>
      <c r="L41" s="60" t="str">
        <f>IF(D41="","",IFERROR(INDEX(Configuración!$B$24:$B$29,MATCH(D41,Configuración!$C$24:$C$29,1)),""))</f>
        <v>Mañana</v>
      </c>
      <c r="M41" s="61">
        <f>IF(OR(G41="",J41=""),"",IFERROR(INDEX(Configuración!$G$14:$G$23,MATCH(G41,Configuración!$F$14:$F$23,0))*J41/60,""))</f>
        <v>17</v>
      </c>
      <c r="N41" s="62" t="str">
        <f>IF(COUNTA(C41:H41)=0,"",IF(C41="","Falta el día",IF(D41="","Falta la hora",IF(E41="","Falta la actividad",IF(F41="","Falta la sala",IF(U41="","Esta actividad no está en «Configuración»",IF(R41="","Esta sala no está en «Configuración»",IF(O41="","Elige el día en la lista",IF(P41="","Escribe la hora así: 19:00",IF(COUNTIFS($O$6:$O$65,O41,$R$6:$R$65,R41,$P$6:$P$65,"&lt;"&amp;Q41,$Q$6:$Q$65,"&gt;"&amp;P41)&gt;1,"Se solapa con otra clase en la misma sala",IF(AND(G41&lt;&gt;"",COUNTIFS($O$6:$O$65,O41,$G$6:$G$65,G41,$P$6:$P$65,"&lt;"&amp;Q41,$Q$6:$Q$65,"&gt;"&amp;P41)&gt;1),"El monitor tiene otra clase a la vez",IF(AND(G41&lt;&gt;"",ISNA(MATCH(G41,Configuración!$F$14:$F$23,0))),"Este monitor no está en «Configuración»",IF(AND(H41&lt;&gt;"",N(INDEX(Configuración!$G$6:$G$11,R41))&gt;0,N(H41)&gt;N(INDEX(Configuración!$G$6:$G$11,R41))),"Más plazas que el aforo de la sala","")))))))))))))</f>
        <v/>
      </c>
      <c r="O41">
        <f>IF(C41="","",IFERROR(MATCH(C41,{"Lunes","Martes","Miércoles","Jueves","Viernes","Sábado","Domingo"},0),""))</f>
        <v>6</v>
      </c>
      <c r="P41">
        <f t="shared" si="8"/>
        <v>630</v>
      </c>
      <c r="Q41">
        <f t="shared" si="9"/>
        <v>690</v>
      </c>
      <c r="R41">
        <f>IF(F41="","",IFERROR(MATCH(F41,Configuración!$F$6:$F$11,0),""))</f>
        <v>2</v>
      </c>
      <c r="S41">
        <f t="shared" si="10"/>
        <v>6302</v>
      </c>
      <c r="T41">
        <f t="shared" si="11"/>
        <v>606302</v>
      </c>
      <c r="U41">
        <f>IF(E41="","",IFERROR(MATCH(E41,Configuración!$F$26:$F$37,0),""))</f>
        <v>4</v>
      </c>
    </row>
    <row r="42" spans="2:21" ht="18" customHeight="1" x14ac:dyDescent="0.2">
      <c r="B42" s="57">
        <f t="shared" si="6"/>
        <v>37</v>
      </c>
      <c r="C42" s="30" t="s">
        <v>116</v>
      </c>
      <c r="D42" s="58">
        <v>0.4375</v>
      </c>
      <c r="E42" s="30" t="s">
        <v>86</v>
      </c>
      <c r="F42" s="30" t="s">
        <v>48</v>
      </c>
      <c r="G42" s="30" t="s">
        <v>61</v>
      </c>
      <c r="H42" s="31"/>
      <c r="I42" s="32">
        <f>IF(E42="","",IF(H42&lt;&gt;"",H42,IFERROR(INDEX(Configuración!$G$6:$G$11,R42),"")))</f>
        <v>12</v>
      </c>
      <c r="J42" s="32">
        <f>IF(OR(E42="",U42=""),"",IF(INDEX(Configuración!$G$26:$G$37,U42)="","",INDEX(Configuración!$G$26:$G$37,U42)))</f>
        <v>45</v>
      </c>
      <c r="K42" s="59">
        <f t="shared" si="7"/>
        <v>0.46875</v>
      </c>
      <c r="L42" s="60" t="str">
        <f>IF(D42="","",IFERROR(INDEX(Configuración!$B$24:$B$29,MATCH(D42,Configuración!$C$24:$C$29,1)),""))</f>
        <v>Mañana</v>
      </c>
      <c r="M42" s="61">
        <f>IF(OR(G42="",J42=""),"",IFERROR(INDEX(Configuración!$G$14:$G$23,MATCH(G42,Configuración!$F$14:$F$23,0))*J42/60,""))</f>
        <v>12.75</v>
      </c>
      <c r="N42" s="62" t="str">
        <f>IF(COUNTA(C42:H42)=0,"",IF(C42="","Falta el día",IF(D42="","Falta la hora",IF(E42="","Falta la actividad",IF(F42="","Falta la sala",IF(U42="","Esta actividad no está en «Configuración»",IF(R42="","Esta sala no está en «Configuración»",IF(O42="","Elige el día en la lista",IF(P42="","Escribe la hora así: 19:00",IF(COUNTIFS($O$6:$O$65,O42,$R$6:$R$65,R42,$P$6:$P$65,"&lt;"&amp;Q42,$Q$6:$Q$65,"&gt;"&amp;P42)&gt;1,"Se solapa con otra clase en la misma sala",IF(AND(G42&lt;&gt;"",COUNTIFS($O$6:$O$65,O42,$G$6:$G$65,G42,$P$6:$P$65,"&lt;"&amp;Q42,$Q$6:$Q$65,"&gt;"&amp;P42)&gt;1),"El monitor tiene otra clase a la vez",IF(AND(G42&lt;&gt;"",ISNA(MATCH(G42,Configuración!$F$14:$F$23,0))),"Este monitor no está en «Configuración»",IF(AND(H42&lt;&gt;"",N(INDEX(Configuración!$G$6:$G$11,R42))&gt;0,N(H42)&gt;N(INDEX(Configuración!$G$6:$G$11,R42))),"Más plazas que el aforo de la sala","")))))))))))))</f>
        <v/>
      </c>
      <c r="O42">
        <f>IF(C42="","",IFERROR(MATCH(C42,{"Lunes","Martes","Miércoles","Jueves","Viernes","Sábado","Domingo"},0),""))</f>
        <v>7</v>
      </c>
      <c r="P42">
        <f t="shared" si="8"/>
        <v>630</v>
      </c>
      <c r="Q42">
        <f t="shared" si="9"/>
        <v>675</v>
      </c>
      <c r="R42">
        <f>IF(F42="","",IFERROR(MATCH(F42,Configuración!$F$6:$F$11,0),""))</f>
        <v>2</v>
      </c>
      <c r="S42">
        <f t="shared" si="10"/>
        <v>6302</v>
      </c>
      <c r="T42">
        <f t="shared" si="11"/>
        <v>706302</v>
      </c>
      <c r="U42">
        <f>IF(E42="","",IFERROR(MATCH(E42,Configuración!$F$26:$F$37,0),""))</f>
        <v>6</v>
      </c>
    </row>
    <row r="43" spans="2:21" ht="18" customHeight="1" x14ac:dyDescent="0.2">
      <c r="B43" s="57" t="str">
        <f t="shared" si="6"/>
        <v/>
      </c>
      <c r="C43" s="30"/>
      <c r="D43" s="58"/>
      <c r="E43" s="30"/>
      <c r="F43" s="30"/>
      <c r="G43" s="30"/>
      <c r="H43" s="31"/>
      <c r="I43" s="32" t="str">
        <f>IF(E43="","",IF(H43&lt;&gt;"",H43,IFERROR(INDEX(Configuración!$G$6:$G$11,R43),"")))</f>
        <v/>
      </c>
      <c r="J43" s="32" t="str">
        <f>IF(OR(E43="",U43=""),"",IF(INDEX(Configuración!$G$26:$G$37,U43)="","",INDEX(Configuración!$G$26:$G$37,U43)))</f>
        <v/>
      </c>
      <c r="K43" s="59" t="str">
        <f t="shared" si="7"/>
        <v/>
      </c>
      <c r="L43" s="60" t="str">
        <f>IF(D43="","",IFERROR(INDEX(Configuración!$B$24:$B$29,MATCH(D43,Configuración!$C$24:$C$29,1)),""))</f>
        <v/>
      </c>
      <c r="M43" s="61" t="str">
        <f>IF(OR(G43="",J43=""),"",IFERROR(INDEX(Configuración!$G$14:$G$23,MATCH(G43,Configuración!$F$14:$F$23,0))*J43/60,""))</f>
        <v/>
      </c>
      <c r="N43" s="62" t="str">
        <f>IF(COUNTA(C43:H43)=0,"",IF(C43="","Falta el día",IF(D43="","Falta la hora",IF(E43="","Falta la actividad",IF(F43="","Falta la sala",IF(U43="","Esta actividad no está en «Configuración»",IF(R43="","Esta sala no está en «Configuración»",IF(O43="","Elige el día en la lista",IF(P43="","Escribe la hora así: 19:00",IF(COUNTIFS($O$6:$O$65,O43,$R$6:$R$65,R43,$P$6:$P$65,"&lt;"&amp;Q43,$Q$6:$Q$65,"&gt;"&amp;P43)&gt;1,"Se solapa con otra clase en la misma sala",IF(AND(G43&lt;&gt;"",COUNTIFS($O$6:$O$65,O43,$G$6:$G$65,G43,$P$6:$P$65,"&lt;"&amp;Q43,$Q$6:$Q$65,"&gt;"&amp;P43)&gt;1),"El monitor tiene otra clase a la vez",IF(AND(G43&lt;&gt;"",ISNA(MATCH(G43,Configuración!$F$14:$F$23,0))),"Este monitor no está en «Configuración»",IF(AND(H43&lt;&gt;"",N(INDEX(Configuración!$G$6:$G$11,R43))&gt;0,N(H43)&gt;N(INDEX(Configuración!$G$6:$G$11,R43))),"Más plazas que el aforo de la sala","")))))))))))))</f>
        <v/>
      </c>
      <c r="O43" t="str">
        <f>IF(C43="","",IFERROR(MATCH(C43,{"Lunes","Martes","Miércoles","Jueves","Viernes","Sábado","Domingo"},0),""))</f>
        <v/>
      </c>
      <c r="P43" t="str">
        <f t="shared" si="8"/>
        <v/>
      </c>
      <c r="Q43" t="str">
        <f t="shared" si="9"/>
        <v/>
      </c>
      <c r="R43" t="str">
        <f>IF(F43="","",IFERROR(MATCH(F43,Configuración!$F$6:$F$11,0),""))</f>
        <v/>
      </c>
      <c r="S43" t="str">
        <f t="shared" si="10"/>
        <v/>
      </c>
      <c r="T43" t="str">
        <f t="shared" si="11"/>
        <v/>
      </c>
      <c r="U43" t="str">
        <f>IF(E43="","",IFERROR(MATCH(E43,Configuración!$F$26:$F$37,0),""))</f>
        <v/>
      </c>
    </row>
    <row r="44" spans="2:21" ht="18" customHeight="1" x14ac:dyDescent="0.2">
      <c r="B44" s="57" t="str">
        <f t="shared" si="6"/>
        <v/>
      </c>
      <c r="C44" s="30"/>
      <c r="D44" s="58"/>
      <c r="E44" s="30"/>
      <c r="F44" s="30"/>
      <c r="G44" s="30"/>
      <c r="H44" s="31"/>
      <c r="I44" s="32" t="str">
        <f>IF(E44="","",IF(H44&lt;&gt;"",H44,IFERROR(INDEX(Configuración!$G$6:$G$11,R44),"")))</f>
        <v/>
      </c>
      <c r="J44" s="32" t="str">
        <f>IF(OR(E44="",U44=""),"",IF(INDEX(Configuración!$G$26:$G$37,U44)="","",INDEX(Configuración!$G$26:$G$37,U44)))</f>
        <v/>
      </c>
      <c r="K44" s="59" t="str">
        <f t="shared" si="7"/>
        <v/>
      </c>
      <c r="L44" s="60" t="str">
        <f>IF(D44="","",IFERROR(INDEX(Configuración!$B$24:$B$29,MATCH(D44,Configuración!$C$24:$C$29,1)),""))</f>
        <v/>
      </c>
      <c r="M44" s="61" t="str">
        <f>IF(OR(G44="",J44=""),"",IFERROR(INDEX(Configuración!$G$14:$G$23,MATCH(G44,Configuración!$F$14:$F$23,0))*J44/60,""))</f>
        <v/>
      </c>
      <c r="N44" s="62" t="str">
        <f>IF(COUNTA(C44:H44)=0,"",IF(C44="","Falta el día",IF(D44="","Falta la hora",IF(E44="","Falta la actividad",IF(F44="","Falta la sala",IF(U44="","Esta actividad no está en «Configuración»",IF(R44="","Esta sala no está en «Configuración»",IF(O44="","Elige el día en la lista",IF(P44="","Escribe la hora así: 19:00",IF(COUNTIFS($O$6:$O$65,O44,$R$6:$R$65,R44,$P$6:$P$65,"&lt;"&amp;Q44,$Q$6:$Q$65,"&gt;"&amp;P44)&gt;1,"Se solapa con otra clase en la misma sala",IF(AND(G44&lt;&gt;"",COUNTIFS($O$6:$O$65,O44,$G$6:$G$65,G44,$P$6:$P$65,"&lt;"&amp;Q44,$Q$6:$Q$65,"&gt;"&amp;P44)&gt;1),"El monitor tiene otra clase a la vez",IF(AND(G44&lt;&gt;"",ISNA(MATCH(G44,Configuración!$F$14:$F$23,0))),"Este monitor no está en «Configuración»",IF(AND(H44&lt;&gt;"",N(INDEX(Configuración!$G$6:$G$11,R44))&gt;0,N(H44)&gt;N(INDEX(Configuración!$G$6:$G$11,R44))),"Más plazas que el aforo de la sala","")))))))))))))</f>
        <v/>
      </c>
      <c r="O44" t="str">
        <f>IF(C44="","",IFERROR(MATCH(C44,{"Lunes","Martes","Miércoles","Jueves","Viernes","Sábado","Domingo"},0),""))</f>
        <v/>
      </c>
      <c r="P44" t="str">
        <f t="shared" si="8"/>
        <v/>
      </c>
      <c r="Q44" t="str">
        <f t="shared" si="9"/>
        <v/>
      </c>
      <c r="R44" t="str">
        <f>IF(F44="","",IFERROR(MATCH(F44,Configuración!$F$6:$F$11,0),""))</f>
        <v/>
      </c>
      <c r="S44" t="str">
        <f t="shared" si="10"/>
        <v/>
      </c>
      <c r="T44" t="str">
        <f t="shared" si="11"/>
        <v/>
      </c>
      <c r="U44" t="str">
        <f>IF(E44="","",IFERROR(MATCH(E44,Configuración!$F$26:$F$37,0),""))</f>
        <v/>
      </c>
    </row>
    <row r="45" spans="2:21" ht="18" customHeight="1" x14ac:dyDescent="0.2">
      <c r="B45" s="57" t="str">
        <f t="shared" si="6"/>
        <v/>
      </c>
      <c r="C45" s="30"/>
      <c r="D45" s="58"/>
      <c r="E45" s="30"/>
      <c r="F45" s="30"/>
      <c r="G45" s="30"/>
      <c r="H45" s="31"/>
      <c r="I45" s="32" t="str">
        <f>IF(E45="","",IF(H45&lt;&gt;"",H45,IFERROR(INDEX(Configuración!$G$6:$G$11,R45),"")))</f>
        <v/>
      </c>
      <c r="J45" s="32" t="str">
        <f>IF(OR(E45="",U45=""),"",IF(INDEX(Configuración!$G$26:$G$37,U45)="","",INDEX(Configuración!$G$26:$G$37,U45)))</f>
        <v/>
      </c>
      <c r="K45" s="59" t="str">
        <f t="shared" si="7"/>
        <v/>
      </c>
      <c r="L45" s="60" t="str">
        <f>IF(D45="","",IFERROR(INDEX(Configuración!$B$24:$B$29,MATCH(D45,Configuración!$C$24:$C$29,1)),""))</f>
        <v/>
      </c>
      <c r="M45" s="61" t="str">
        <f>IF(OR(G45="",J45=""),"",IFERROR(INDEX(Configuración!$G$14:$G$23,MATCH(G45,Configuración!$F$14:$F$23,0))*J45/60,""))</f>
        <v/>
      </c>
      <c r="N45" s="62" t="str">
        <f>IF(COUNTA(C45:H45)=0,"",IF(C45="","Falta el día",IF(D45="","Falta la hora",IF(E45="","Falta la actividad",IF(F45="","Falta la sala",IF(U45="","Esta actividad no está en «Configuración»",IF(R45="","Esta sala no está en «Configuración»",IF(O45="","Elige el día en la lista",IF(P45="","Escribe la hora así: 19:00",IF(COUNTIFS($O$6:$O$65,O45,$R$6:$R$65,R45,$P$6:$P$65,"&lt;"&amp;Q45,$Q$6:$Q$65,"&gt;"&amp;P45)&gt;1,"Se solapa con otra clase en la misma sala",IF(AND(G45&lt;&gt;"",COUNTIFS($O$6:$O$65,O45,$G$6:$G$65,G45,$P$6:$P$65,"&lt;"&amp;Q45,$Q$6:$Q$65,"&gt;"&amp;P45)&gt;1),"El monitor tiene otra clase a la vez",IF(AND(G45&lt;&gt;"",ISNA(MATCH(G45,Configuración!$F$14:$F$23,0))),"Este monitor no está en «Configuración»",IF(AND(H45&lt;&gt;"",N(INDEX(Configuración!$G$6:$G$11,R45))&gt;0,N(H45)&gt;N(INDEX(Configuración!$G$6:$G$11,R45))),"Más plazas que el aforo de la sala","")))))))))))))</f>
        <v/>
      </c>
      <c r="O45" t="str">
        <f>IF(C45="","",IFERROR(MATCH(C45,{"Lunes","Martes","Miércoles","Jueves","Viernes","Sábado","Domingo"},0),""))</f>
        <v/>
      </c>
      <c r="P45" t="str">
        <f t="shared" si="8"/>
        <v/>
      </c>
      <c r="Q45" t="str">
        <f t="shared" si="9"/>
        <v/>
      </c>
      <c r="R45" t="str">
        <f>IF(F45="","",IFERROR(MATCH(F45,Configuración!$F$6:$F$11,0),""))</f>
        <v/>
      </c>
      <c r="S45" t="str">
        <f t="shared" si="10"/>
        <v/>
      </c>
      <c r="T45" t="str">
        <f t="shared" si="11"/>
        <v/>
      </c>
      <c r="U45" t="str">
        <f>IF(E45="","",IFERROR(MATCH(E45,Configuración!$F$26:$F$37,0),""))</f>
        <v/>
      </c>
    </row>
    <row r="46" spans="2:21" ht="18" customHeight="1" x14ac:dyDescent="0.2">
      <c r="B46" s="57" t="str">
        <f t="shared" si="6"/>
        <v/>
      </c>
      <c r="C46" s="30"/>
      <c r="D46" s="58"/>
      <c r="E46" s="30"/>
      <c r="F46" s="30"/>
      <c r="G46" s="30"/>
      <c r="H46" s="31"/>
      <c r="I46" s="32" t="str">
        <f>IF(E46="","",IF(H46&lt;&gt;"",H46,IFERROR(INDEX(Configuración!$G$6:$G$11,R46),"")))</f>
        <v/>
      </c>
      <c r="J46" s="32" t="str">
        <f>IF(OR(E46="",U46=""),"",IF(INDEX(Configuración!$G$26:$G$37,U46)="","",INDEX(Configuración!$G$26:$G$37,U46)))</f>
        <v/>
      </c>
      <c r="K46" s="59" t="str">
        <f t="shared" si="7"/>
        <v/>
      </c>
      <c r="L46" s="60" t="str">
        <f>IF(D46="","",IFERROR(INDEX(Configuración!$B$24:$B$29,MATCH(D46,Configuración!$C$24:$C$29,1)),""))</f>
        <v/>
      </c>
      <c r="M46" s="61" t="str">
        <f>IF(OR(G46="",J46=""),"",IFERROR(INDEX(Configuración!$G$14:$G$23,MATCH(G46,Configuración!$F$14:$F$23,0))*J46/60,""))</f>
        <v/>
      </c>
      <c r="N46" s="62" t="str">
        <f>IF(COUNTA(C46:H46)=0,"",IF(C46="","Falta el día",IF(D46="","Falta la hora",IF(E46="","Falta la actividad",IF(F46="","Falta la sala",IF(U46="","Esta actividad no está en «Configuración»",IF(R46="","Esta sala no está en «Configuración»",IF(O46="","Elige el día en la lista",IF(P46="","Escribe la hora así: 19:00",IF(COUNTIFS($O$6:$O$65,O46,$R$6:$R$65,R46,$P$6:$P$65,"&lt;"&amp;Q46,$Q$6:$Q$65,"&gt;"&amp;P46)&gt;1,"Se solapa con otra clase en la misma sala",IF(AND(G46&lt;&gt;"",COUNTIFS($O$6:$O$65,O46,$G$6:$G$65,G46,$P$6:$P$65,"&lt;"&amp;Q46,$Q$6:$Q$65,"&gt;"&amp;P46)&gt;1),"El monitor tiene otra clase a la vez",IF(AND(G46&lt;&gt;"",ISNA(MATCH(G46,Configuración!$F$14:$F$23,0))),"Este monitor no está en «Configuración»",IF(AND(H46&lt;&gt;"",N(INDEX(Configuración!$G$6:$G$11,R46))&gt;0,N(H46)&gt;N(INDEX(Configuración!$G$6:$G$11,R46))),"Más plazas que el aforo de la sala","")))))))))))))</f>
        <v/>
      </c>
      <c r="O46" t="str">
        <f>IF(C46="","",IFERROR(MATCH(C46,{"Lunes","Martes","Miércoles","Jueves","Viernes","Sábado","Domingo"},0),""))</f>
        <v/>
      </c>
      <c r="P46" t="str">
        <f t="shared" si="8"/>
        <v/>
      </c>
      <c r="Q46" t="str">
        <f t="shared" si="9"/>
        <v/>
      </c>
      <c r="R46" t="str">
        <f>IF(F46="","",IFERROR(MATCH(F46,Configuración!$F$6:$F$11,0),""))</f>
        <v/>
      </c>
      <c r="S46" t="str">
        <f t="shared" si="10"/>
        <v/>
      </c>
      <c r="T46" t="str">
        <f t="shared" si="11"/>
        <v/>
      </c>
      <c r="U46" t="str">
        <f>IF(E46="","",IFERROR(MATCH(E46,Configuración!$F$26:$F$37,0),""))</f>
        <v/>
      </c>
    </row>
    <row r="47" spans="2:21" ht="18" customHeight="1" x14ac:dyDescent="0.2">
      <c r="B47" s="57" t="str">
        <f t="shared" si="6"/>
        <v/>
      </c>
      <c r="C47" s="30"/>
      <c r="D47" s="58"/>
      <c r="E47" s="30"/>
      <c r="F47" s="30"/>
      <c r="G47" s="30"/>
      <c r="H47" s="31"/>
      <c r="I47" s="32" t="str">
        <f>IF(E47="","",IF(H47&lt;&gt;"",H47,IFERROR(INDEX(Configuración!$G$6:$G$11,R47),"")))</f>
        <v/>
      </c>
      <c r="J47" s="32" t="str">
        <f>IF(OR(E47="",U47=""),"",IF(INDEX(Configuración!$G$26:$G$37,U47)="","",INDEX(Configuración!$G$26:$G$37,U47)))</f>
        <v/>
      </c>
      <c r="K47" s="59" t="str">
        <f t="shared" si="7"/>
        <v/>
      </c>
      <c r="L47" s="60" t="str">
        <f>IF(D47="","",IFERROR(INDEX(Configuración!$B$24:$B$29,MATCH(D47,Configuración!$C$24:$C$29,1)),""))</f>
        <v/>
      </c>
      <c r="M47" s="61" t="str">
        <f>IF(OR(G47="",J47=""),"",IFERROR(INDEX(Configuración!$G$14:$G$23,MATCH(G47,Configuración!$F$14:$F$23,0))*J47/60,""))</f>
        <v/>
      </c>
      <c r="N47" s="62" t="str">
        <f>IF(COUNTA(C47:H47)=0,"",IF(C47="","Falta el día",IF(D47="","Falta la hora",IF(E47="","Falta la actividad",IF(F47="","Falta la sala",IF(U47="","Esta actividad no está en «Configuración»",IF(R47="","Esta sala no está en «Configuración»",IF(O47="","Elige el día en la lista",IF(P47="","Escribe la hora así: 19:00",IF(COUNTIFS($O$6:$O$65,O47,$R$6:$R$65,R47,$P$6:$P$65,"&lt;"&amp;Q47,$Q$6:$Q$65,"&gt;"&amp;P47)&gt;1,"Se solapa con otra clase en la misma sala",IF(AND(G47&lt;&gt;"",COUNTIFS($O$6:$O$65,O47,$G$6:$G$65,G47,$P$6:$P$65,"&lt;"&amp;Q47,$Q$6:$Q$65,"&gt;"&amp;P47)&gt;1),"El monitor tiene otra clase a la vez",IF(AND(G47&lt;&gt;"",ISNA(MATCH(G47,Configuración!$F$14:$F$23,0))),"Este monitor no está en «Configuración»",IF(AND(H47&lt;&gt;"",N(INDEX(Configuración!$G$6:$G$11,R47))&gt;0,N(H47)&gt;N(INDEX(Configuración!$G$6:$G$11,R47))),"Más plazas que el aforo de la sala","")))))))))))))</f>
        <v/>
      </c>
      <c r="O47" t="str">
        <f>IF(C47="","",IFERROR(MATCH(C47,{"Lunes","Martes","Miércoles","Jueves","Viernes","Sábado","Domingo"},0),""))</f>
        <v/>
      </c>
      <c r="P47" t="str">
        <f t="shared" si="8"/>
        <v/>
      </c>
      <c r="Q47" t="str">
        <f t="shared" si="9"/>
        <v/>
      </c>
      <c r="R47" t="str">
        <f>IF(F47="","",IFERROR(MATCH(F47,Configuración!$F$6:$F$11,0),""))</f>
        <v/>
      </c>
      <c r="S47" t="str">
        <f t="shared" si="10"/>
        <v/>
      </c>
      <c r="T47" t="str">
        <f t="shared" si="11"/>
        <v/>
      </c>
      <c r="U47" t="str">
        <f>IF(E47="","",IFERROR(MATCH(E47,Configuración!$F$26:$F$37,0),""))</f>
        <v/>
      </c>
    </row>
    <row r="48" spans="2:21" ht="18" customHeight="1" x14ac:dyDescent="0.2">
      <c r="B48" s="57" t="str">
        <f t="shared" si="6"/>
        <v/>
      </c>
      <c r="C48" s="30"/>
      <c r="D48" s="58"/>
      <c r="E48" s="30"/>
      <c r="F48" s="30"/>
      <c r="G48" s="30"/>
      <c r="H48" s="31"/>
      <c r="I48" s="32" t="str">
        <f>IF(E48="","",IF(H48&lt;&gt;"",H48,IFERROR(INDEX(Configuración!$G$6:$G$11,R48),"")))</f>
        <v/>
      </c>
      <c r="J48" s="32" t="str">
        <f>IF(OR(E48="",U48=""),"",IF(INDEX(Configuración!$G$26:$G$37,U48)="","",INDEX(Configuración!$G$26:$G$37,U48)))</f>
        <v/>
      </c>
      <c r="K48" s="59" t="str">
        <f t="shared" si="7"/>
        <v/>
      </c>
      <c r="L48" s="60" t="str">
        <f>IF(D48="","",IFERROR(INDEX(Configuración!$B$24:$B$29,MATCH(D48,Configuración!$C$24:$C$29,1)),""))</f>
        <v/>
      </c>
      <c r="M48" s="61" t="str">
        <f>IF(OR(G48="",J48=""),"",IFERROR(INDEX(Configuración!$G$14:$G$23,MATCH(G48,Configuración!$F$14:$F$23,0))*J48/60,""))</f>
        <v/>
      </c>
      <c r="N48" s="62" t="str">
        <f>IF(COUNTA(C48:H48)=0,"",IF(C48="","Falta el día",IF(D48="","Falta la hora",IF(E48="","Falta la actividad",IF(F48="","Falta la sala",IF(U48="","Esta actividad no está en «Configuración»",IF(R48="","Esta sala no está en «Configuración»",IF(O48="","Elige el día en la lista",IF(P48="","Escribe la hora así: 19:00",IF(COUNTIFS($O$6:$O$65,O48,$R$6:$R$65,R48,$P$6:$P$65,"&lt;"&amp;Q48,$Q$6:$Q$65,"&gt;"&amp;P48)&gt;1,"Se solapa con otra clase en la misma sala",IF(AND(G48&lt;&gt;"",COUNTIFS($O$6:$O$65,O48,$G$6:$G$65,G48,$P$6:$P$65,"&lt;"&amp;Q48,$Q$6:$Q$65,"&gt;"&amp;P48)&gt;1),"El monitor tiene otra clase a la vez",IF(AND(G48&lt;&gt;"",ISNA(MATCH(G48,Configuración!$F$14:$F$23,0))),"Este monitor no está en «Configuración»",IF(AND(H48&lt;&gt;"",N(INDEX(Configuración!$G$6:$G$11,R48))&gt;0,N(H48)&gt;N(INDEX(Configuración!$G$6:$G$11,R48))),"Más plazas que el aforo de la sala","")))))))))))))</f>
        <v/>
      </c>
      <c r="O48" t="str">
        <f>IF(C48="","",IFERROR(MATCH(C48,{"Lunes","Martes","Miércoles","Jueves","Viernes","Sábado","Domingo"},0),""))</f>
        <v/>
      </c>
      <c r="P48" t="str">
        <f t="shared" si="8"/>
        <v/>
      </c>
      <c r="Q48" t="str">
        <f t="shared" si="9"/>
        <v/>
      </c>
      <c r="R48" t="str">
        <f>IF(F48="","",IFERROR(MATCH(F48,Configuración!$F$6:$F$11,0),""))</f>
        <v/>
      </c>
      <c r="S48" t="str">
        <f t="shared" si="10"/>
        <v/>
      </c>
      <c r="T48" t="str">
        <f t="shared" si="11"/>
        <v/>
      </c>
      <c r="U48" t="str">
        <f>IF(E48="","",IFERROR(MATCH(E48,Configuración!$F$26:$F$37,0),""))</f>
        <v/>
      </c>
    </row>
    <row r="49" spans="2:21" ht="18" customHeight="1" x14ac:dyDescent="0.2">
      <c r="B49" s="57" t="str">
        <f t="shared" si="6"/>
        <v/>
      </c>
      <c r="C49" s="30"/>
      <c r="D49" s="58"/>
      <c r="E49" s="30"/>
      <c r="F49" s="30"/>
      <c r="G49" s="30"/>
      <c r="H49" s="31"/>
      <c r="I49" s="32" t="str">
        <f>IF(E49="","",IF(H49&lt;&gt;"",H49,IFERROR(INDEX(Configuración!$G$6:$G$11,R49),"")))</f>
        <v/>
      </c>
      <c r="J49" s="32" t="str">
        <f>IF(OR(E49="",U49=""),"",IF(INDEX(Configuración!$G$26:$G$37,U49)="","",INDEX(Configuración!$G$26:$G$37,U49)))</f>
        <v/>
      </c>
      <c r="K49" s="59" t="str">
        <f t="shared" si="7"/>
        <v/>
      </c>
      <c r="L49" s="60" t="str">
        <f>IF(D49="","",IFERROR(INDEX(Configuración!$B$24:$B$29,MATCH(D49,Configuración!$C$24:$C$29,1)),""))</f>
        <v/>
      </c>
      <c r="M49" s="61" t="str">
        <f>IF(OR(G49="",J49=""),"",IFERROR(INDEX(Configuración!$G$14:$G$23,MATCH(G49,Configuración!$F$14:$F$23,0))*J49/60,""))</f>
        <v/>
      </c>
      <c r="N49" s="62" t="str">
        <f>IF(COUNTA(C49:H49)=0,"",IF(C49="","Falta el día",IF(D49="","Falta la hora",IF(E49="","Falta la actividad",IF(F49="","Falta la sala",IF(U49="","Esta actividad no está en «Configuración»",IF(R49="","Esta sala no está en «Configuración»",IF(O49="","Elige el día en la lista",IF(P49="","Escribe la hora así: 19:00",IF(COUNTIFS($O$6:$O$65,O49,$R$6:$R$65,R49,$P$6:$P$65,"&lt;"&amp;Q49,$Q$6:$Q$65,"&gt;"&amp;P49)&gt;1,"Se solapa con otra clase en la misma sala",IF(AND(G49&lt;&gt;"",COUNTIFS($O$6:$O$65,O49,$G$6:$G$65,G49,$P$6:$P$65,"&lt;"&amp;Q49,$Q$6:$Q$65,"&gt;"&amp;P49)&gt;1),"El monitor tiene otra clase a la vez",IF(AND(G49&lt;&gt;"",ISNA(MATCH(G49,Configuración!$F$14:$F$23,0))),"Este monitor no está en «Configuración»",IF(AND(H49&lt;&gt;"",N(INDEX(Configuración!$G$6:$G$11,R49))&gt;0,N(H49)&gt;N(INDEX(Configuración!$G$6:$G$11,R49))),"Más plazas que el aforo de la sala","")))))))))))))</f>
        <v/>
      </c>
      <c r="O49" t="str">
        <f>IF(C49="","",IFERROR(MATCH(C49,{"Lunes","Martes","Miércoles","Jueves","Viernes","Sábado","Domingo"},0),""))</f>
        <v/>
      </c>
      <c r="P49" t="str">
        <f t="shared" si="8"/>
        <v/>
      </c>
      <c r="Q49" t="str">
        <f t="shared" si="9"/>
        <v/>
      </c>
      <c r="R49" t="str">
        <f>IF(F49="","",IFERROR(MATCH(F49,Configuración!$F$6:$F$11,0),""))</f>
        <v/>
      </c>
      <c r="S49" t="str">
        <f t="shared" si="10"/>
        <v/>
      </c>
      <c r="T49" t="str">
        <f t="shared" si="11"/>
        <v/>
      </c>
      <c r="U49" t="str">
        <f>IF(E49="","",IFERROR(MATCH(E49,Configuración!$F$26:$F$37,0),""))</f>
        <v/>
      </c>
    </row>
    <row r="50" spans="2:21" ht="18" customHeight="1" x14ac:dyDescent="0.2">
      <c r="B50" s="57" t="str">
        <f t="shared" si="6"/>
        <v/>
      </c>
      <c r="C50" s="30"/>
      <c r="D50" s="58"/>
      <c r="E50" s="30"/>
      <c r="F50" s="30"/>
      <c r="G50" s="30"/>
      <c r="H50" s="31"/>
      <c r="I50" s="32" t="str">
        <f>IF(E50="","",IF(H50&lt;&gt;"",H50,IFERROR(INDEX(Configuración!$G$6:$G$11,R50),"")))</f>
        <v/>
      </c>
      <c r="J50" s="32" t="str">
        <f>IF(OR(E50="",U50=""),"",IF(INDEX(Configuración!$G$26:$G$37,U50)="","",INDEX(Configuración!$G$26:$G$37,U50)))</f>
        <v/>
      </c>
      <c r="K50" s="59" t="str">
        <f t="shared" si="7"/>
        <v/>
      </c>
      <c r="L50" s="60" t="str">
        <f>IF(D50="","",IFERROR(INDEX(Configuración!$B$24:$B$29,MATCH(D50,Configuración!$C$24:$C$29,1)),""))</f>
        <v/>
      </c>
      <c r="M50" s="61" t="str">
        <f>IF(OR(G50="",J50=""),"",IFERROR(INDEX(Configuración!$G$14:$G$23,MATCH(G50,Configuración!$F$14:$F$23,0))*J50/60,""))</f>
        <v/>
      </c>
      <c r="N50" s="62" t="str">
        <f>IF(COUNTA(C50:H50)=0,"",IF(C50="","Falta el día",IF(D50="","Falta la hora",IF(E50="","Falta la actividad",IF(F50="","Falta la sala",IF(U50="","Esta actividad no está en «Configuración»",IF(R50="","Esta sala no está en «Configuración»",IF(O50="","Elige el día en la lista",IF(P50="","Escribe la hora así: 19:00",IF(COUNTIFS($O$6:$O$65,O50,$R$6:$R$65,R50,$P$6:$P$65,"&lt;"&amp;Q50,$Q$6:$Q$65,"&gt;"&amp;P50)&gt;1,"Se solapa con otra clase en la misma sala",IF(AND(G50&lt;&gt;"",COUNTIFS($O$6:$O$65,O50,$G$6:$G$65,G50,$P$6:$P$65,"&lt;"&amp;Q50,$Q$6:$Q$65,"&gt;"&amp;P50)&gt;1),"El monitor tiene otra clase a la vez",IF(AND(G50&lt;&gt;"",ISNA(MATCH(G50,Configuración!$F$14:$F$23,0))),"Este monitor no está en «Configuración»",IF(AND(H50&lt;&gt;"",N(INDEX(Configuración!$G$6:$G$11,R50))&gt;0,N(H50)&gt;N(INDEX(Configuración!$G$6:$G$11,R50))),"Más plazas que el aforo de la sala","")))))))))))))</f>
        <v/>
      </c>
      <c r="O50" t="str">
        <f>IF(C50="","",IFERROR(MATCH(C50,{"Lunes","Martes","Miércoles","Jueves","Viernes","Sábado","Domingo"},0),""))</f>
        <v/>
      </c>
      <c r="P50" t="str">
        <f t="shared" si="8"/>
        <v/>
      </c>
      <c r="Q50" t="str">
        <f t="shared" si="9"/>
        <v/>
      </c>
      <c r="R50" t="str">
        <f>IF(F50="","",IFERROR(MATCH(F50,Configuración!$F$6:$F$11,0),""))</f>
        <v/>
      </c>
      <c r="S50" t="str">
        <f t="shared" si="10"/>
        <v/>
      </c>
      <c r="T50" t="str">
        <f t="shared" si="11"/>
        <v/>
      </c>
      <c r="U50" t="str">
        <f>IF(E50="","",IFERROR(MATCH(E50,Configuración!$F$26:$F$37,0),""))</f>
        <v/>
      </c>
    </row>
    <row r="51" spans="2:21" ht="18" customHeight="1" x14ac:dyDescent="0.2">
      <c r="B51" s="57" t="str">
        <f t="shared" si="6"/>
        <v/>
      </c>
      <c r="C51" s="30"/>
      <c r="D51" s="58"/>
      <c r="E51" s="30"/>
      <c r="F51" s="30"/>
      <c r="G51" s="30"/>
      <c r="H51" s="31"/>
      <c r="I51" s="32" t="str">
        <f>IF(E51="","",IF(H51&lt;&gt;"",H51,IFERROR(INDEX(Configuración!$G$6:$G$11,R51),"")))</f>
        <v/>
      </c>
      <c r="J51" s="32" t="str">
        <f>IF(OR(E51="",U51=""),"",IF(INDEX(Configuración!$G$26:$G$37,U51)="","",INDEX(Configuración!$G$26:$G$37,U51)))</f>
        <v/>
      </c>
      <c r="K51" s="59" t="str">
        <f t="shared" si="7"/>
        <v/>
      </c>
      <c r="L51" s="60" t="str">
        <f>IF(D51="","",IFERROR(INDEX(Configuración!$B$24:$B$29,MATCH(D51,Configuración!$C$24:$C$29,1)),""))</f>
        <v/>
      </c>
      <c r="M51" s="61" t="str">
        <f>IF(OR(G51="",J51=""),"",IFERROR(INDEX(Configuración!$G$14:$G$23,MATCH(G51,Configuración!$F$14:$F$23,0))*J51/60,""))</f>
        <v/>
      </c>
      <c r="N51" s="62" t="str">
        <f>IF(COUNTA(C51:H51)=0,"",IF(C51="","Falta el día",IF(D51="","Falta la hora",IF(E51="","Falta la actividad",IF(F51="","Falta la sala",IF(U51="","Esta actividad no está en «Configuración»",IF(R51="","Esta sala no está en «Configuración»",IF(O51="","Elige el día en la lista",IF(P51="","Escribe la hora así: 19:00",IF(COUNTIFS($O$6:$O$65,O51,$R$6:$R$65,R51,$P$6:$P$65,"&lt;"&amp;Q51,$Q$6:$Q$65,"&gt;"&amp;P51)&gt;1,"Se solapa con otra clase en la misma sala",IF(AND(G51&lt;&gt;"",COUNTIFS($O$6:$O$65,O51,$G$6:$G$65,G51,$P$6:$P$65,"&lt;"&amp;Q51,$Q$6:$Q$65,"&gt;"&amp;P51)&gt;1),"El monitor tiene otra clase a la vez",IF(AND(G51&lt;&gt;"",ISNA(MATCH(G51,Configuración!$F$14:$F$23,0))),"Este monitor no está en «Configuración»",IF(AND(H51&lt;&gt;"",N(INDEX(Configuración!$G$6:$G$11,R51))&gt;0,N(H51)&gt;N(INDEX(Configuración!$G$6:$G$11,R51))),"Más plazas que el aforo de la sala","")))))))))))))</f>
        <v/>
      </c>
      <c r="O51" t="str">
        <f>IF(C51="","",IFERROR(MATCH(C51,{"Lunes","Martes","Miércoles","Jueves","Viernes","Sábado","Domingo"},0),""))</f>
        <v/>
      </c>
      <c r="P51" t="str">
        <f t="shared" si="8"/>
        <v/>
      </c>
      <c r="Q51" t="str">
        <f t="shared" si="9"/>
        <v/>
      </c>
      <c r="R51" t="str">
        <f>IF(F51="","",IFERROR(MATCH(F51,Configuración!$F$6:$F$11,0),""))</f>
        <v/>
      </c>
      <c r="S51" t="str">
        <f t="shared" si="10"/>
        <v/>
      </c>
      <c r="T51" t="str">
        <f t="shared" si="11"/>
        <v/>
      </c>
      <c r="U51" t="str">
        <f>IF(E51="","",IFERROR(MATCH(E51,Configuración!$F$26:$F$37,0),""))</f>
        <v/>
      </c>
    </row>
    <row r="52" spans="2:21" ht="18" customHeight="1" x14ac:dyDescent="0.2">
      <c r="B52" s="57" t="str">
        <f t="shared" si="6"/>
        <v/>
      </c>
      <c r="C52" s="30"/>
      <c r="D52" s="58"/>
      <c r="E52" s="30"/>
      <c r="F52" s="30"/>
      <c r="G52" s="30"/>
      <c r="H52" s="31"/>
      <c r="I52" s="32" t="str">
        <f>IF(E52="","",IF(H52&lt;&gt;"",H52,IFERROR(INDEX(Configuración!$G$6:$G$11,R52),"")))</f>
        <v/>
      </c>
      <c r="J52" s="32" t="str">
        <f>IF(OR(E52="",U52=""),"",IF(INDEX(Configuración!$G$26:$G$37,U52)="","",INDEX(Configuración!$G$26:$G$37,U52)))</f>
        <v/>
      </c>
      <c r="K52" s="59" t="str">
        <f t="shared" si="7"/>
        <v/>
      </c>
      <c r="L52" s="60" t="str">
        <f>IF(D52="","",IFERROR(INDEX(Configuración!$B$24:$B$29,MATCH(D52,Configuración!$C$24:$C$29,1)),""))</f>
        <v/>
      </c>
      <c r="M52" s="61" t="str">
        <f>IF(OR(G52="",J52=""),"",IFERROR(INDEX(Configuración!$G$14:$G$23,MATCH(G52,Configuración!$F$14:$F$23,0))*J52/60,""))</f>
        <v/>
      </c>
      <c r="N52" s="62" t="str">
        <f>IF(COUNTA(C52:H52)=0,"",IF(C52="","Falta el día",IF(D52="","Falta la hora",IF(E52="","Falta la actividad",IF(F52="","Falta la sala",IF(U52="","Esta actividad no está en «Configuración»",IF(R52="","Esta sala no está en «Configuración»",IF(O52="","Elige el día en la lista",IF(P52="","Escribe la hora así: 19:00",IF(COUNTIFS($O$6:$O$65,O52,$R$6:$R$65,R52,$P$6:$P$65,"&lt;"&amp;Q52,$Q$6:$Q$65,"&gt;"&amp;P52)&gt;1,"Se solapa con otra clase en la misma sala",IF(AND(G52&lt;&gt;"",COUNTIFS($O$6:$O$65,O52,$G$6:$G$65,G52,$P$6:$P$65,"&lt;"&amp;Q52,$Q$6:$Q$65,"&gt;"&amp;P52)&gt;1),"El monitor tiene otra clase a la vez",IF(AND(G52&lt;&gt;"",ISNA(MATCH(G52,Configuración!$F$14:$F$23,0))),"Este monitor no está en «Configuración»",IF(AND(H52&lt;&gt;"",N(INDEX(Configuración!$G$6:$G$11,R52))&gt;0,N(H52)&gt;N(INDEX(Configuración!$G$6:$G$11,R52))),"Más plazas que el aforo de la sala","")))))))))))))</f>
        <v/>
      </c>
      <c r="O52" t="str">
        <f>IF(C52="","",IFERROR(MATCH(C52,{"Lunes","Martes","Miércoles","Jueves","Viernes","Sábado","Domingo"},0),""))</f>
        <v/>
      </c>
      <c r="P52" t="str">
        <f t="shared" si="8"/>
        <v/>
      </c>
      <c r="Q52" t="str">
        <f t="shared" si="9"/>
        <v/>
      </c>
      <c r="R52" t="str">
        <f>IF(F52="","",IFERROR(MATCH(F52,Configuración!$F$6:$F$11,0),""))</f>
        <v/>
      </c>
      <c r="S52" t="str">
        <f t="shared" si="10"/>
        <v/>
      </c>
      <c r="T52" t="str">
        <f t="shared" si="11"/>
        <v/>
      </c>
      <c r="U52" t="str">
        <f>IF(E52="","",IFERROR(MATCH(E52,Configuración!$F$26:$F$37,0),""))</f>
        <v/>
      </c>
    </row>
    <row r="53" spans="2:21" ht="18" customHeight="1" x14ac:dyDescent="0.2">
      <c r="B53" s="57" t="str">
        <f t="shared" si="6"/>
        <v/>
      </c>
      <c r="C53" s="30"/>
      <c r="D53" s="58"/>
      <c r="E53" s="30"/>
      <c r="F53" s="30"/>
      <c r="G53" s="30"/>
      <c r="H53" s="31"/>
      <c r="I53" s="32" t="str">
        <f>IF(E53="","",IF(H53&lt;&gt;"",H53,IFERROR(INDEX(Configuración!$G$6:$G$11,R53),"")))</f>
        <v/>
      </c>
      <c r="J53" s="32" t="str">
        <f>IF(OR(E53="",U53=""),"",IF(INDEX(Configuración!$G$26:$G$37,U53)="","",INDEX(Configuración!$G$26:$G$37,U53)))</f>
        <v/>
      </c>
      <c r="K53" s="59" t="str">
        <f t="shared" si="7"/>
        <v/>
      </c>
      <c r="L53" s="60" t="str">
        <f>IF(D53="","",IFERROR(INDEX(Configuración!$B$24:$B$29,MATCH(D53,Configuración!$C$24:$C$29,1)),""))</f>
        <v/>
      </c>
      <c r="M53" s="61" t="str">
        <f>IF(OR(G53="",J53=""),"",IFERROR(INDEX(Configuración!$G$14:$G$23,MATCH(G53,Configuración!$F$14:$F$23,0))*J53/60,""))</f>
        <v/>
      </c>
      <c r="N53" s="62" t="str">
        <f>IF(COUNTA(C53:H53)=0,"",IF(C53="","Falta el día",IF(D53="","Falta la hora",IF(E53="","Falta la actividad",IF(F53="","Falta la sala",IF(U53="","Esta actividad no está en «Configuración»",IF(R53="","Esta sala no está en «Configuración»",IF(O53="","Elige el día en la lista",IF(P53="","Escribe la hora así: 19:00",IF(COUNTIFS($O$6:$O$65,O53,$R$6:$R$65,R53,$P$6:$P$65,"&lt;"&amp;Q53,$Q$6:$Q$65,"&gt;"&amp;P53)&gt;1,"Se solapa con otra clase en la misma sala",IF(AND(G53&lt;&gt;"",COUNTIFS($O$6:$O$65,O53,$G$6:$G$65,G53,$P$6:$P$65,"&lt;"&amp;Q53,$Q$6:$Q$65,"&gt;"&amp;P53)&gt;1),"El monitor tiene otra clase a la vez",IF(AND(G53&lt;&gt;"",ISNA(MATCH(G53,Configuración!$F$14:$F$23,0))),"Este monitor no está en «Configuración»",IF(AND(H53&lt;&gt;"",N(INDEX(Configuración!$G$6:$G$11,R53))&gt;0,N(H53)&gt;N(INDEX(Configuración!$G$6:$G$11,R53))),"Más plazas que el aforo de la sala","")))))))))))))</f>
        <v/>
      </c>
      <c r="O53" t="str">
        <f>IF(C53="","",IFERROR(MATCH(C53,{"Lunes","Martes","Miércoles","Jueves","Viernes","Sábado","Domingo"},0),""))</f>
        <v/>
      </c>
      <c r="P53" t="str">
        <f t="shared" si="8"/>
        <v/>
      </c>
      <c r="Q53" t="str">
        <f t="shared" si="9"/>
        <v/>
      </c>
      <c r="R53" t="str">
        <f>IF(F53="","",IFERROR(MATCH(F53,Configuración!$F$6:$F$11,0),""))</f>
        <v/>
      </c>
      <c r="S53" t="str">
        <f t="shared" si="10"/>
        <v/>
      </c>
      <c r="T53" t="str">
        <f t="shared" si="11"/>
        <v/>
      </c>
      <c r="U53" t="str">
        <f>IF(E53="","",IFERROR(MATCH(E53,Configuración!$F$26:$F$37,0),""))</f>
        <v/>
      </c>
    </row>
    <row r="54" spans="2:21" ht="18" customHeight="1" x14ac:dyDescent="0.2">
      <c r="B54" s="57" t="str">
        <f t="shared" si="6"/>
        <v/>
      </c>
      <c r="C54" s="30"/>
      <c r="D54" s="58"/>
      <c r="E54" s="30"/>
      <c r="F54" s="30"/>
      <c r="G54" s="30"/>
      <c r="H54" s="31"/>
      <c r="I54" s="32" t="str">
        <f>IF(E54="","",IF(H54&lt;&gt;"",H54,IFERROR(INDEX(Configuración!$G$6:$G$11,R54),"")))</f>
        <v/>
      </c>
      <c r="J54" s="32" t="str">
        <f>IF(OR(E54="",U54=""),"",IF(INDEX(Configuración!$G$26:$G$37,U54)="","",INDEX(Configuración!$G$26:$G$37,U54)))</f>
        <v/>
      </c>
      <c r="K54" s="59" t="str">
        <f t="shared" si="7"/>
        <v/>
      </c>
      <c r="L54" s="60" t="str">
        <f>IF(D54="","",IFERROR(INDEX(Configuración!$B$24:$B$29,MATCH(D54,Configuración!$C$24:$C$29,1)),""))</f>
        <v/>
      </c>
      <c r="M54" s="61" t="str">
        <f>IF(OR(G54="",J54=""),"",IFERROR(INDEX(Configuración!$G$14:$G$23,MATCH(G54,Configuración!$F$14:$F$23,0))*J54/60,""))</f>
        <v/>
      </c>
      <c r="N54" s="62" t="str">
        <f>IF(COUNTA(C54:H54)=0,"",IF(C54="","Falta el día",IF(D54="","Falta la hora",IF(E54="","Falta la actividad",IF(F54="","Falta la sala",IF(U54="","Esta actividad no está en «Configuración»",IF(R54="","Esta sala no está en «Configuración»",IF(O54="","Elige el día en la lista",IF(P54="","Escribe la hora así: 19:00",IF(COUNTIFS($O$6:$O$65,O54,$R$6:$R$65,R54,$P$6:$P$65,"&lt;"&amp;Q54,$Q$6:$Q$65,"&gt;"&amp;P54)&gt;1,"Se solapa con otra clase en la misma sala",IF(AND(G54&lt;&gt;"",COUNTIFS($O$6:$O$65,O54,$G$6:$G$65,G54,$P$6:$P$65,"&lt;"&amp;Q54,$Q$6:$Q$65,"&gt;"&amp;P54)&gt;1),"El monitor tiene otra clase a la vez",IF(AND(G54&lt;&gt;"",ISNA(MATCH(G54,Configuración!$F$14:$F$23,0))),"Este monitor no está en «Configuración»",IF(AND(H54&lt;&gt;"",N(INDEX(Configuración!$G$6:$G$11,R54))&gt;0,N(H54)&gt;N(INDEX(Configuración!$G$6:$G$11,R54))),"Más plazas que el aforo de la sala","")))))))))))))</f>
        <v/>
      </c>
      <c r="O54" t="str">
        <f>IF(C54="","",IFERROR(MATCH(C54,{"Lunes","Martes","Miércoles","Jueves","Viernes","Sábado","Domingo"},0),""))</f>
        <v/>
      </c>
      <c r="P54" t="str">
        <f t="shared" si="8"/>
        <v/>
      </c>
      <c r="Q54" t="str">
        <f t="shared" si="9"/>
        <v/>
      </c>
      <c r="R54" t="str">
        <f>IF(F54="","",IFERROR(MATCH(F54,Configuración!$F$6:$F$11,0),""))</f>
        <v/>
      </c>
      <c r="S54" t="str">
        <f t="shared" si="10"/>
        <v/>
      </c>
      <c r="T54" t="str">
        <f t="shared" si="11"/>
        <v/>
      </c>
      <c r="U54" t="str">
        <f>IF(E54="","",IFERROR(MATCH(E54,Configuración!$F$26:$F$37,0),""))</f>
        <v/>
      </c>
    </row>
    <row r="55" spans="2:21" ht="18" customHeight="1" x14ac:dyDescent="0.2">
      <c r="B55" s="57" t="str">
        <f t="shared" si="6"/>
        <v/>
      </c>
      <c r="C55" s="30"/>
      <c r="D55" s="58"/>
      <c r="E55" s="30"/>
      <c r="F55" s="30"/>
      <c r="G55" s="30"/>
      <c r="H55" s="31"/>
      <c r="I55" s="32" t="str">
        <f>IF(E55="","",IF(H55&lt;&gt;"",H55,IFERROR(INDEX(Configuración!$G$6:$G$11,R55),"")))</f>
        <v/>
      </c>
      <c r="J55" s="32" t="str">
        <f>IF(OR(E55="",U55=""),"",IF(INDEX(Configuración!$G$26:$G$37,U55)="","",INDEX(Configuración!$G$26:$G$37,U55)))</f>
        <v/>
      </c>
      <c r="K55" s="59" t="str">
        <f t="shared" si="7"/>
        <v/>
      </c>
      <c r="L55" s="60" t="str">
        <f>IF(D55="","",IFERROR(INDEX(Configuración!$B$24:$B$29,MATCH(D55,Configuración!$C$24:$C$29,1)),""))</f>
        <v/>
      </c>
      <c r="M55" s="61" t="str">
        <f>IF(OR(G55="",J55=""),"",IFERROR(INDEX(Configuración!$G$14:$G$23,MATCH(G55,Configuración!$F$14:$F$23,0))*J55/60,""))</f>
        <v/>
      </c>
      <c r="N55" s="62" t="str">
        <f>IF(COUNTA(C55:H55)=0,"",IF(C55="","Falta el día",IF(D55="","Falta la hora",IF(E55="","Falta la actividad",IF(F55="","Falta la sala",IF(U55="","Esta actividad no está en «Configuración»",IF(R55="","Esta sala no está en «Configuración»",IF(O55="","Elige el día en la lista",IF(P55="","Escribe la hora así: 19:00",IF(COUNTIFS($O$6:$O$65,O55,$R$6:$R$65,R55,$P$6:$P$65,"&lt;"&amp;Q55,$Q$6:$Q$65,"&gt;"&amp;P55)&gt;1,"Se solapa con otra clase en la misma sala",IF(AND(G55&lt;&gt;"",COUNTIFS($O$6:$O$65,O55,$G$6:$G$65,G55,$P$6:$P$65,"&lt;"&amp;Q55,$Q$6:$Q$65,"&gt;"&amp;P55)&gt;1),"El monitor tiene otra clase a la vez",IF(AND(G55&lt;&gt;"",ISNA(MATCH(G55,Configuración!$F$14:$F$23,0))),"Este monitor no está en «Configuración»",IF(AND(H55&lt;&gt;"",N(INDEX(Configuración!$G$6:$G$11,R55))&gt;0,N(H55)&gt;N(INDEX(Configuración!$G$6:$G$11,R55))),"Más plazas que el aforo de la sala","")))))))))))))</f>
        <v/>
      </c>
      <c r="O55" t="str">
        <f>IF(C55="","",IFERROR(MATCH(C55,{"Lunes","Martes","Miércoles","Jueves","Viernes","Sábado","Domingo"},0),""))</f>
        <v/>
      </c>
      <c r="P55" t="str">
        <f t="shared" si="8"/>
        <v/>
      </c>
      <c r="Q55" t="str">
        <f t="shared" si="9"/>
        <v/>
      </c>
      <c r="R55" t="str">
        <f>IF(F55="","",IFERROR(MATCH(F55,Configuración!$F$6:$F$11,0),""))</f>
        <v/>
      </c>
      <c r="S55" t="str">
        <f t="shared" si="10"/>
        <v/>
      </c>
      <c r="T55" t="str">
        <f t="shared" si="11"/>
        <v/>
      </c>
      <c r="U55" t="str">
        <f>IF(E55="","",IFERROR(MATCH(E55,Configuración!$F$26:$F$37,0),""))</f>
        <v/>
      </c>
    </row>
    <row r="56" spans="2:21" ht="18" customHeight="1" x14ac:dyDescent="0.2">
      <c r="B56" s="57" t="str">
        <f t="shared" si="6"/>
        <v/>
      </c>
      <c r="C56" s="30"/>
      <c r="D56" s="58"/>
      <c r="E56" s="30"/>
      <c r="F56" s="30"/>
      <c r="G56" s="30"/>
      <c r="H56" s="31"/>
      <c r="I56" s="32" t="str">
        <f>IF(E56="","",IF(H56&lt;&gt;"",H56,IFERROR(INDEX(Configuración!$G$6:$G$11,R56),"")))</f>
        <v/>
      </c>
      <c r="J56" s="32" t="str">
        <f>IF(OR(E56="",U56=""),"",IF(INDEX(Configuración!$G$26:$G$37,U56)="","",INDEX(Configuración!$G$26:$G$37,U56)))</f>
        <v/>
      </c>
      <c r="K56" s="59" t="str">
        <f t="shared" si="7"/>
        <v/>
      </c>
      <c r="L56" s="60" t="str">
        <f>IF(D56="","",IFERROR(INDEX(Configuración!$B$24:$B$29,MATCH(D56,Configuración!$C$24:$C$29,1)),""))</f>
        <v/>
      </c>
      <c r="M56" s="61" t="str">
        <f>IF(OR(G56="",J56=""),"",IFERROR(INDEX(Configuración!$G$14:$G$23,MATCH(G56,Configuración!$F$14:$F$23,0))*J56/60,""))</f>
        <v/>
      </c>
      <c r="N56" s="62" t="str">
        <f>IF(COUNTA(C56:H56)=0,"",IF(C56="","Falta el día",IF(D56="","Falta la hora",IF(E56="","Falta la actividad",IF(F56="","Falta la sala",IF(U56="","Esta actividad no está en «Configuración»",IF(R56="","Esta sala no está en «Configuración»",IF(O56="","Elige el día en la lista",IF(P56="","Escribe la hora así: 19:00",IF(COUNTIFS($O$6:$O$65,O56,$R$6:$R$65,R56,$P$6:$P$65,"&lt;"&amp;Q56,$Q$6:$Q$65,"&gt;"&amp;P56)&gt;1,"Se solapa con otra clase en la misma sala",IF(AND(G56&lt;&gt;"",COUNTIFS($O$6:$O$65,O56,$G$6:$G$65,G56,$P$6:$P$65,"&lt;"&amp;Q56,$Q$6:$Q$65,"&gt;"&amp;P56)&gt;1),"El monitor tiene otra clase a la vez",IF(AND(G56&lt;&gt;"",ISNA(MATCH(G56,Configuración!$F$14:$F$23,0))),"Este monitor no está en «Configuración»",IF(AND(H56&lt;&gt;"",N(INDEX(Configuración!$G$6:$G$11,R56))&gt;0,N(H56)&gt;N(INDEX(Configuración!$G$6:$G$11,R56))),"Más plazas que el aforo de la sala","")))))))))))))</f>
        <v/>
      </c>
      <c r="O56" t="str">
        <f>IF(C56="","",IFERROR(MATCH(C56,{"Lunes","Martes","Miércoles","Jueves","Viernes","Sábado","Domingo"},0),""))</f>
        <v/>
      </c>
      <c r="P56" t="str">
        <f t="shared" si="8"/>
        <v/>
      </c>
      <c r="Q56" t="str">
        <f t="shared" si="9"/>
        <v/>
      </c>
      <c r="R56" t="str">
        <f>IF(F56="","",IFERROR(MATCH(F56,Configuración!$F$6:$F$11,0),""))</f>
        <v/>
      </c>
      <c r="S56" t="str">
        <f t="shared" si="10"/>
        <v/>
      </c>
      <c r="T56" t="str">
        <f t="shared" si="11"/>
        <v/>
      </c>
      <c r="U56" t="str">
        <f>IF(E56="","",IFERROR(MATCH(E56,Configuración!$F$26:$F$37,0),""))</f>
        <v/>
      </c>
    </row>
    <row r="57" spans="2:21" ht="18" customHeight="1" x14ac:dyDescent="0.2">
      <c r="B57" s="57" t="str">
        <f t="shared" si="6"/>
        <v/>
      </c>
      <c r="C57" s="30"/>
      <c r="D57" s="58"/>
      <c r="E57" s="30"/>
      <c r="F57" s="30"/>
      <c r="G57" s="30"/>
      <c r="H57" s="31"/>
      <c r="I57" s="32" t="str">
        <f>IF(E57="","",IF(H57&lt;&gt;"",H57,IFERROR(INDEX(Configuración!$G$6:$G$11,R57),"")))</f>
        <v/>
      </c>
      <c r="J57" s="32" t="str">
        <f>IF(OR(E57="",U57=""),"",IF(INDEX(Configuración!$G$26:$G$37,U57)="","",INDEX(Configuración!$G$26:$G$37,U57)))</f>
        <v/>
      </c>
      <c r="K57" s="59" t="str">
        <f t="shared" si="7"/>
        <v/>
      </c>
      <c r="L57" s="60" t="str">
        <f>IF(D57="","",IFERROR(INDEX(Configuración!$B$24:$B$29,MATCH(D57,Configuración!$C$24:$C$29,1)),""))</f>
        <v/>
      </c>
      <c r="M57" s="61" t="str">
        <f>IF(OR(G57="",J57=""),"",IFERROR(INDEX(Configuración!$G$14:$G$23,MATCH(G57,Configuración!$F$14:$F$23,0))*J57/60,""))</f>
        <v/>
      </c>
      <c r="N57" s="62" t="str">
        <f>IF(COUNTA(C57:H57)=0,"",IF(C57="","Falta el día",IF(D57="","Falta la hora",IF(E57="","Falta la actividad",IF(F57="","Falta la sala",IF(U57="","Esta actividad no está en «Configuración»",IF(R57="","Esta sala no está en «Configuración»",IF(O57="","Elige el día en la lista",IF(P57="","Escribe la hora así: 19:00",IF(COUNTIFS($O$6:$O$65,O57,$R$6:$R$65,R57,$P$6:$P$65,"&lt;"&amp;Q57,$Q$6:$Q$65,"&gt;"&amp;P57)&gt;1,"Se solapa con otra clase en la misma sala",IF(AND(G57&lt;&gt;"",COUNTIFS($O$6:$O$65,O57,$G$6:$G$65,G57,$P$6:$P$65,"&lt;"&amp;Q57,$Q$6:$Q$65,"&gt;"&amp;P57)&gt;1),"El monitor tiene otra clase a la vez",IF(AND(G57&lt;&gt;"",ISNA(MATCH(G57,Configuración!$F$14:$F$23,0))),"Este monitor no está en «Configuración»",IF(AND(H57&lt;&gt;"",N(INDEX(Configuración!$G$6:$G$11,R57))&gt;0,N(H57)&gt;N(INDEX(Configuración!$G$6:$G$11,R57))),"Más plazas que el aforo de la sala","")))))))))))))</f>
        <v/>
      </c>
      <c r="O57" t="str">
        <f>IF(C57="","",IFERROR(MATCH(C57,{"Lunes","Martes","Miércoles","Jueves","Viernes","Sábado","Domingo"},0),""))</f>
        <v/>
      </c>
      <c r="P57" t="str">
        <f t="shared" si="8"/>
        <v/>
      </c>
      <c r="Q57" t="str">
        <f t="shared" si="9"/>
        <v/>
      </c>
      <c r="R57" t="str">
        <f>IF(F57="","",IFERROR(MATCH(F57,Configuración!$F$6:$F$11,0),""))</f>
        <v/>
      </c>
      <c r="S57" t="str">
        <f t="shared" si="10"/>
        <v/>
      </c>
      <c r="T57" t="str">
        <f t="shared" si="11"/>
        <v/>
      </c>
      <c r="U57" t="str">
        <f>IF(E57="","",IFERROR(MATCH(E57,Configuración!$F$26:$F$37,0),""))</f>
        <v/>
      </c>
    </row>
    <row r="58" spans="2:21" ht="18" customHeight="1" x14ac:dyDescent="0.2">
      <c r="B58" s="57" t="str">
        <f t="shared" si="6"/>
        <v/>
      </c>
      <c r="C58" s="30"/>
      <c r="D58" s="58"/>
      <c r="E58" s="30"/>
      <c r="F58" s="30"/>
      <c r="G58" s="30"/>
      <c r="H58" s="31"/>
      <c r="I58" s="32" t="str">
        <f>IF(E58="","",IF(H58&lt;&gt;"",H58,IFERROR(INDEX(Configuración!$G$6:$G$11,R58),"")))</f>
        <v/>
      </c>
      <c r="J58" s="32" t="str">
        <f>IF(OR(E58="",U58=""),"",IF(INDEX(Configuración!$G$26:$G$37,U58)="","",INDEX(Configuración!$G$26:$G$37,U58)))</f>
        <v/>
      </c>
      <c r="K58" s="59" t="str">
        <f t="shared" si="7"/>
        <v/>
      </c>
      <c r="L58" s="60" t="str">
        <f>IF(D58="","",IFERROR(INDEX(Configuración!$B$24:$B$29,MATCH(D58,Configuración!$C$24:$C$29,1)),""))</f>
        <v/>
      </c>
      <c r="M58" s="61" t="str">
        <f>IF(OR(G58="",J58=""),"",IFERROR(INDEX(Configuración!$G$14:$G$23,MATCH(G58,Configuración!$F$14:$F$23,0))*J58/60,""))</f>
        <v/>
      </c>
      <c r="N58" s="62" t="str">
        <f>IF(COUNTA(C58:H58)=0,"",IF(C58="","Falta el día",IF(D58="","Falta la hora",IF(E58="","Falta la actividad",IF(F58="","Falta la sala",IF(U58="","Esta actividad no está en «Configuración»",IF(R58="","Esta sala no está en «Configuración»",IF(O58="","Elige el día en la lista",IF(P58="","Escribe la hora así: 19:00",IF(COUNTIFS($O$6:$O$65,O58,$R$6:$R$65,R58,$P$6:$P$65,"&lt;"&amp;Q58,$Q$6:$Q$65,"&gt;"&amp;P58)&gt;1,"Se solapa con otra clase en la misma sala",IF(AND(G58&lt;&gt;"",COUNTIFS($O$6:$O$65,O58,$G$6:$G$65,G58,$P$6:$P$65,"&lt;"&amp;Q58,$Q$6:$Q$65,"&gt;"&amp;P58)&gt;1),"El monitor tiene otra clase a la vez",IF(AND(G58&lt;&gt;"",ISNA(MATCH(G58,Configuración!$F$14:$F$23,0))),"Este monitor no está en «Configuración»",IF(AND(H58&lt;&gt;"",N(INDEX(Configuración!$G$6:$G$11,R58))&gt;0,N(H58)&gt;N(INDEX(Configuración!$G$6:$G$11,R58))),"Más plazas que el aforo de la sala","")))))))))))))</f>
        <v/>
      </c>
      <c r="O58" t="str">
        <f>IF(C58="","",IFERROR(MATCH(C58,{"Lunes","Martes","Miércoles","Jueves","Viernes","Sábado","Domingo"},0),""))</f>
        <v/>
      </c>
      <c r="P58" t="str">
        <f t="shared" si="8"/>
        <v/>
      </c>
      <c r="Q58" t="str">
        <f t="shared" si="9"/>
        <v/>
      </c>
      <c r="R58" t="str">
        <f>IF(F58="","",IFERROR(MATCH(F58,Configuración!$F$6:$F$11,0),""))</f>
        <v/>
      </c>
      <c r="S58" t="str">
        <f t="shared" si="10"/>
        <v/>
      </c>
      <c r="T58" t="str">
        <f t="shared" si="11"/>
        <v/>
      </c>
      <c r="U58" t="str">
        <f>IF(E58="","",IFERROR(MATCH(E58,Configuración!$F$26:$F$37,0),""))</f>
        <v/>
      </c>
    </row>
    <row r="59" spans="2:21" ht="18" customHeight="1" x14ac:dyDescent="0.2">
      <c r="B59" s="57" t="str">
        <f t="shared" si="6"/>
        <v/>
      </c>
      <c r="C59" s="30"/>
      <c r="D59" s="58"/>
      <c r="E59" s="30"/>
      <c r="F59" s="30"/>
      <c r="G59" s="30"/>
      <c r="H59" s="31"/>
      <c r="I59" s="32" t="str">
        <f>IF(E59="","",IF(H59&lt;&gt;"",H59,IFERROR(INDEX(Configuración!$G$6:$G$11,R59),"")))</f>
        <v/>
      </c>
      <c r="J59" s="32" t="str">
        <f>IF(OR(E59="",U59=""),"",IF(INDEX(Configuración!$G$26:$G$37,U59)="","",INDEX(Configuración!$G$26:$G$37,U59)))</f>
        <v/>
      </c>
      <c r="K59" s="59" t="str">
        <f t="shared" si="7"/>
        <v/>
      </c>
      <c r="L59" s="60" t="str">
        <f>IF(D59="","",IFERROR(INDEX(Configuración!$B$24:$B$29,MATCH(D59,Configuración!$C$24:$C$29,1)),""))</f>
        <v/>
      </c>
      <c r="M59" s="61" t="str">
        <f>IF(OR(G59="",J59=""),"",IFERROR(INDEX(Configuración!$G$14:$G$23,MATCH(G59,Configuración!$F$14:$F$23,0))*J59/60,""))</f>
        <v/>
      </c>
      <c r="N59" s="62" t="str">
        <f>IF(COUNTA(C59:H59)=0,"",IF(C59="","Falta el día",IF(D59="","Falta la hora",IF(E59="","Falta la actividad",IF(F59="","Falta la sala",IF(U59="","Esta actividad no está en «Configuración»",IF(R59="","Esta sala no está en «Configuración»",IF(O59="","Elige el día en la lista",IF(P59="","Escribe la hora así: 19:00",IF(COUNTIFS($O$6:$O$65,O59,$R$6:$R$65,R59,$P$6:$P$65,"&lt;"&amp;Q59,$Q$6:$Q$65,"&gt;"&amp;P59)&gt;1,"Se solapa con otra clase en la misma sala",IF(AND(G59&lt;&gt;"",COUNTIFS($O$6:$O$65,O59,$G$6:$G$65,G59,$P$6:$P$65,"&lt;"&amp;Q59,$Q$6:$Q$65,"&gt;"&amp;P59)&gt;1),"El monitor tiene otra clase a la vez",IF(AND(G59&lt;&gt;"",ISNA(MATCH(G59,Configuración!$F$14:$F$23,0))),"Este monitor no está en «Configuración»",IF(AND(H59&lt;&gt;"",N(INDEX(Configuración!$G$6:$G$11,R59))&gt;0,N(H59)&gt;N(INDEX(Configuración!$G$6:$G$11,R59))),"Más plazas que el aforo de la sala","")))))))))))))</f>
        <v/>
      </c>
      <c r="O59" t="str">
        <f>IF(C59="","",IFERROR(MATCH(C59,{"Lunes","Martes","Miércoles","Jueves","Viernes","Sábado","Domingo"},0),""))</f>
        <v/>
      </c>
      <c r="P59" t="str">
        <f t="shared" si="8"/>
        <v/>
      </c>
      <c r="Q59" t="str">
        <f t="shared" si="9"/>
        <v/>
      </c>
      <c r="R59" t="str">
        <f>IF(F59="","",IFERROR(MATCH(F59,Configuración!$F$6:$F$11,0),""))</f>
        <v/>
      </c>
      <c r="S59" t="str">
        <f t="shared" si="10"/>
        <v/>
      </c>
      <c r="T59" t="str">
        <f t="shared" si="11"/>
        <v/>
      </c>
      <c r="U59" t="str">
        <f>IF(E59="","",IFERROR(MATCH(E59,Configuración!$F$26:$F$37,0),""))</f>
        <v/>
      </c>
    </row>
    <row r="60" spans="2:21" ht="18" customHeight="1" x14ac:dyDescent="0.2">
      <c r="B60" s="57" t="str">
        <f t="shared" si="6"/>
        <v/>
      </c>
      <c r="C60" s="30"/>
      <c r="D60" s="58"/>
      <c r="E60" s="30"/>
      <c r="F60" s="30"/>
      <c r="G60" s="30"/>
      <c r="H60" s="31"/>
      <c r="I60" s="32" t="str">
        <f>IF(E60="","",IF(H60&lt;&gt;"",H60,IFERROR(INDEX(Configuración!$G$6:$G$11,R60),"")))</f>
        <v/>
      </c>
      <c r="J60" s="32" t="str">
        <f>IF(OR(E60="",U60=""),"",IF(INDEX(Configuración!$G$26:$G$37,U60)="","",INDEX(Configuración!$G$26:$G$37,U60)))</f>
        <v/>
      </c>
      <c r="K60" s="59" t="str">
        <f t="shared" si="7"/>
        <v/>
      </c>
      <c r="L60" s="60" t="str">
        <f>IF(D60="","",IFERROR(INDEX(Configuración!$B$24:$B$29,MATCH(D60,Configuración!$C$24:$C$29,1)),""))</f>
        <v/>
      </c>
      <c r="M60" s="61" t="str">
        <f>IF(OR(G60="",J60=""),"",IFERROR(INDEX(Configuración!$G$14:$G$23,MATCH(G60,Configuración!$F$14:$F$23,0))*J60/60,""))</f>
        <v/>
      </c>
      <c r="N60" s="62" t="str">
        <f>IF(COUNTA(C60:H60)=0,"",IF(C60="","Falta el día",IF(D60="","Falta la hora",IF(E60="","Falta la actividad",IF(F60="","Falta la sala",IF(U60="","Esta actividad no está en «Configuración»",IF(R60="","Esta sala no está en «Configuración»",IF(O60="","Elige el día en la lista",IF(P60="","Escribe la hora así: 19:00",IF(COUNTIFS($O$6:$O$65,O60,$R$6:$R$65,R60,$P$6:$P$65,"&lt;"&amp;Q60,$Q$6:$Q$65,"&gt;"&amp;P60)&gt;1,"Se solapa con otra clase en la misma sala",IF(AND(G60&lt;&gt;"",COUNTIFS($O$6:$O$65,O60,$G$6:$G$65,G60,$P$6:$P$65,"&lt;"&amp;Q60,$Q$6:$Q$65,"&gt;"&amp;P60)&gt;1),"El monitor tiene otra clase a la vez",IF(AND(G60&lt;&gt;"",ISNA(MATCH(G60,Configuración!$F$14:$F$23,0))),"Este monitor no está en «Configuración»",IF(AND(H60&lt;&gt;"",N(INDEX(Configuración!$G$6:$G$11,R60))&gt;0,N(H60)&gt;N(INDEX(Configuración!$G$6:$G$11,R60))),"Más plazas que el aforo de la sala","")))))))))))))</f>
        <v/>
      </c>
      <c r="O60" t="str">
        <f>IF(C60="","",IFERROR(MATCH(C60,{"Lunes","Martes","Miércoles","Jueves","Viernes","Sábado","Domingo"},0),""))</f>
        <v/>
      </c>
      <c r="P60" t="str">
        <f t="shared" si="8"/>
        <v/>
      </c>
      <c r="Q60" t="str">
        <f t="shared" si="9"/>
        <v/>
      </c>
      <c r="R60" t="str">
        <f>IF(F60="","",IFERROR(MATCH(F60,Configuración!$F$6:$F$11,0),""))</f>
        <v/>
      </c>
      <c r="S60" t="str">
        <f t="shared" si="10"/>
        <v/>
      </c>
      <c r="T60" t="str">
        <f t="shared" si="11"/>
        <v/>
      </c>
      <c r="U60" t="str">
        <f>IF(E60="","",IFERROR(MATCH(E60,Configuración!$F$26:$F$37,0),""))</f>
        <v/>
      </c>
    </row>
    <row r="61" spans="2:21" ht="18" customHeight="1" x14ac:dyDescent="0.2">
      <c r="B61" s="57" t="str">
        <f t="shared" si="6"/>
        <v/>
      </c>
      <c r="C61" s="30"/>
      <c r="D61" s="58"/>
      <c r="E61" s="30"/>
      <c r="F61" s="30"/>
      <c r="G61" s="30"/>
      <c r="H61" s="31"/>
      <c r="I61" s="32" t="str">
        <f>IF(E61="","",IF(H61&lt;&gt;"",H61,IFERROR(INDEX(Configuración!$G$6:$G$11,R61),"")))</f>
        <v/>
      </c>
      <c r="J61" s="32" t="str">
        <f>IF(OR(E61="",U61=""),"",IF(INDEX(Configuración!$G$26:$G$37,U61)="","",INDEX(Configuración!$G$26:$G$37,U61)))</f>
        <v/>
      </c>
      <c r="K61" s="59" t="str">
        <f t="shared" si="7"/>
        <v/>
      </c>
      <c r="L61" s="60" t="str">
        <f>IF(D61="","",IFERROR(INDEX(Configuración!$B$24:$B$29,MATCH(D61,Configuración!$C$24:$C$29,1)),""))</f>
        <v/>
      </c>
      <c r="M61" s="61" t="str">
        <f>IF(OR(G61="",J61=""),"",IFERROR(INDEX(Configuración!$G$14:$G$23,MATCH(G61,Configuración!$F$14:$F$23,0))*J61/60,""))</f>
        <v/>
      </c>
      <c r="N61" s="62" t="str">
        <f>IF(COUNTA(C61:H61)=0,"",IF(C61="","Falta el día",IF(D61="","Falta la hora",IF(E61="","Falta la actividad",IF(F61="","Falta la sala",IF(U61="","Esta actividad no está en «Configuración»",IF(R61="","Esta sala no está en «Configuración»",IF(O61="","Elige el día en la lista",IF(P61="","Escribe la hora así: 19:00",IF(COUNTIFS($O$6:$O$65,O61,$R$6:$R$65,R61,$P$6:$P$65,"&lt;"&amp;Q61,$Q$6:$Q$65,"&gt;"&amp;P61)&gt;1,"Se solapa con otra clase en la misma sala",IF(AND(G61&lt;&gt;"",COUNTIFS($O$6:$O$65,O61,$G$6:$G$65,G61,$P$6:$P$65,"&lt;"&amp;Q61,$Q$6:$Q$65,"&gt;"&amp;P61)&gt;1),"El monitor tiene otra clase a la vez",IF(AND(G61&lt;&gt;"",ISNA(MATCH(G61,Configuración!$F$14:$F$23,0))),"Este monitor no está en «Configuración»",IF(AND(H61&lt;&gt;"",N(INDEX(Configuración!$G$6:$G$11,R61))&gt;0,N(H61)&gt;N(INDEX(Configuración!$G$6:$G$11,R61))),"Más plazas que el aforo de la sala","")))))))))))))</f>
        <v/>
      </c>
      <c r="O61" t="str">
        <f>IF(C61="","",IFERROR(MATCH(C61,{"Lunes","Martes","Miércoles","Jueves","Viernes","Sábado","Domingo"},0),""))</f>
        <v/>
      </c>
      <c r="P61" t="str">
        <f t="shared" si="8"/>
        <v/>
      </c>
      <c r="Q61" t="str">
        <f t="shared" si="9"/>
        <v/>
      </c>
      <c r="R61" t="str">
        <f>IF(F61="","",IFERROR(MATCH(F61,Configuración!$F$6:$F$11,0),""))</f>
        <v/>
      </c>
      <c r="S61" t="str">
        <f t="shared" si="10"/>
        <v/>
      </c>
      <c r="T61" t="str">
        <f t="shared" si="11"/>
        <v/>
      </c>
      <c r="U61" t="str">
        <f>IF(E61="","",IFERROR(MATCH(E61,Configuración!$F$26:$F$37,0),""))</f>
        <v/>
      </c>
    </row>
    <row r="62" spans="2:21" ht="18" customHeight="1" x14ac:dyDescent="0.2">
      <c r="B62" s="57" t="str">
        <f t="shared" si="6"/>
        <v/>
      </c>
      <c r="C62" s="30"/>
      <c r="D62" s="58"/>
      <c r="E62" s="30"/>
      <c r="F62" s="30"/>
      <c r="G62" s="30"/>
      <c r="H62" s="31"/>
      <c r="I62" s="32" t="str">
        <f>IF(E62="","",IF(H62&lt;&gt;"",H62,IFERROR(INDEX(Configuración!$G$6:$G$11,R62),"")))</f>
        <v/>
      </c>
      <c r="J62" s="32" t="str">
        <f>IF(OR(E62="",U62=""),"",IF(INDEX(Configuración!$G$26:$G$37,U62)="","",INDEX(Configuración!$G$26:$G$37,U62)))</f>
        <v/>
      </c>
      <c r="K62" s="59" t="str">
        <f t="shared" si="7"/>
        <v/>
      </c>
      <c r="L62" s="60" t="str">
        <f>IF(D62="","",IFERROR(INDEX(Configuración!$B$24:$B$29,MATCH(D62,Configuración!$C$24:$C$29,1)),""))</f>
        <v/>
      </c>
      <c r="M62" s="61" t="str">
        <f>IF(OR(G62="",J62=""),"",IFERROR(INDEX(Configuración!$G$14:$G$23,MATCH(G62,Configuración!$F$14:$F$23,0))*J62/60,""))</f>
        <v/>
      </c>
      <c r="N62" s="62" t="str">
        <f>IF(COUNTA(C62:H62)=0,"",IF(C62="","Falta el día",IF(D62="","Falta la hora",IF(E62="","Falta la actividad",IF(F62="","Falta la sala",IF(U62="","Esta actividad no está en «Configuración»",IF(R62="","Esta sala no está en «Configuración»",IF(O62="","Elige el día en la lista",IF(P62="","Escribe la hora así: 19:00",IF(COUNTIFS($O$6:$O$65,O62,$R$6:$R$65,R62,$P$6:$P$65,"&lt;"&amp;Q62,$Q$6:$Q$65,"&gt;"&amp;P62)&gt;1,"Se solapa con otra clase en la misma sala",IF(AND(G62&lt;&gt;"",COUNTIFS($O$6:$O$65,O62,$G$6:$G$65,G62,$P$6:$P$65,"&lt;"&amp;Q62,$Q$6:$Q$65,"&gt;"&amp;P62)&gt;1),"El monitor tiene otra clase a la vez",IF(AND(G62&lt;&gt;"",ISNA(MATCH(G62,Configuración!$F$14:$F$23,0))),"Este monitor no está en «Configuración»",IF(AND(H62&lt;&gt;"",N(INDEX(Configuración!$G$6:$G$11,R62))&gt;0,N(H62)&gt;N(INDEX(Configuración!$G$6:$G$11,R62))),"Más plazas que el aforo de la sala","")))))))))))))</f>
        <v/>
      </c>
      <c r="O62" t="str">
        <f>IF(C62="","",IFERROR(MATCH(C62,{"Lunes","Martes","Miércoles","Jueves","Viernes","Sábado","Domingo"},0),""))</f>
        <v/>
      </c>
      <c r="P62" t="str">
        <f t="shared" si="8"/>
        <v/>
      </c>
      <c r="Q62" t="str">
        <f t="shared" si="9"/>
        <v/>
      </c>
      <c r="R62" t="str">
        <f>IF(F62="","",IFERROR(MATCH(F62,Configuración!$F$6:$F$11,0),""))</f>
        <v/>
      </c>
      <c r="S62" t="str">
        <f t="shared" si="10"/>
        <v/>
      </c>
      <c r="T62" t="str">
        <f t="shared" si="11"/>
        <v/>
      </c>
      <c r="U62" t="str">
        <f>IF(E62="","",IFERROR(MATCH(E62,Configuración!$F$26:$F$37,0),""))</f>
        <v/>
      </c>
    </row>
    <row r="63" spans="2:21" ht="18" customHeight="1" x14ac:dyDescent="0.2">
      <c r="B63" s="57" t="str">
        <f t="shared" si="6"/>
        <v/>
      </c>
      <c r="C63" s="30"/>
      <c r="D63" s="58"/>
      <c r="E63" s="30"/>
      <c r="F63" s="30"/>
      <c r="G63" s="30"/>
      <c r="H63" s="31"/>
      <c r="I63" s="32" t="str">
        <f>IF(E63="","",IF(H63&lt;&gt;"",H63,IFERROR(INDEX(Configuración!$G$6:$G$11,R63),"")))</f>
        <v/>
      </c>
      <c r="J63" s="32" t="str">
        <f>IF(OR(E63="",U63=""),"",IF(INDEX(Configuración!$G$26:$G$37,U63)="","",INDEX(Configuración!$G$26:$G$37,U63)))</f>
        <v/>
      </c>
      <c r="K63" s="59" t="str">
        <f t="shared" si="7"/>
        <v/>
      </c>
      <c r="L63" s="60" t="str">
        <f>IF(D63="","",IFERROR(INDEX(Configuración!$B$24:$B$29,MATCH(D63,Configuración!$C$24:$C$29,1)),""))</f>
        <v/>
      </c>
      <c r="M63" s="61" t="str">
        <f>IF(OR(G63="",J63=""),"",IFERROR(INDEX(Configuración!$G$14:$G$23,MATCH(G63,Configuración!$F$14:$F$23,0))*J63/60,""))</f>
        <v/>
      </c>
      <c r="N63" s="62" t="str">
        <f>IF(COUNTA(C63:H63)=0,"",IF(C63="","Falta el día",IF(D63="","Falta la hora",IF(E63="","Falta la actividad",IF(F63="","Falta la sala",IF(U63="","Esta actividad no está en «Configuración»",IF(R63="","Esta sala no está en «Configuración»",IF(O63="","Elige el día en la lista",IF(P63="","Escribe la hora así: 19:00",IF(COUNTIFS($O$6:$O$65,O63,$R$6:$R$65,R63,$P$6:$P$65,"&lt;"&amp;Q63,$Q$6:$Q$65,"&gt;"&amp;P63)&gt;1,"Se solapa con otra clase en la misma sala",IF(AND(G63&lt;&gt;"",COUNTIFS($O$6:$O$65,O63,$G$6:$G$65,G63,$P$6:$P$65,"&lt;"&amp;Q63,$Q$6:$Q$65,"&gt;"&amp;P63)&gt;1),"El monitor tiene otra clase a la vez",IF(AND(G63&lt;&gt;"",ISNA(MATCH(G63,Configuración!$F$14:$F$23,0))),"Este monitor no está en «Configuración»",IF(AND(H63&lt;&gt;"",N(INDEX(Configuración!$G$6:$G$11,R63))&gt;0,N(H63)&gt;N(INDEX(Configuración!$G$6:$G$11,R63))),"Más plazas que el aforo de la sala","")))))))))))))</f>
        <v/>
      </c>
      <c r="O63" t="str">
        <f>IF(C63="","",IFERROR(MATCH(C63,{"Lunes","Martes","Miércoles","Jueves","Viernes","Sábado","Domingo"},0),""))</f>
        <v/>
      </c>
      <c r="P63" t="str">
        <f t="shared" si="8"/>
        <v/>
      </c>
      <c r="Q63" t="str">
        <f t="shared" si="9"/>
        <v/>
      </c>
      <c r="R63" t="str">
        <f>IF(F63="","",IFERROR(MATCH(F63,Configuración!$F$6:$F$11,0),""))</f>
        <v/>
      </c>
      <c r="S63" t="str">
        <f t="shared" si="10"/>
        <v/>
      </c>
      <c r="T63" t="str">
        <f t="shared" si="11"/>
        <v/>
      </c>
      <c r="U63" t="str">
        <f>IF(E63="","",IFERROR(MATCH(E63,Configuración!$F$26:$F$37,0),""))</f>
        <v/>
      </c>
    </row>
    <row r="64" spans="2:21" ht="18" customHeight="1" x14ac:dyDescent="0.2">
      <c r="B64" s="57" t="str">
        <f t="shared" si="6"/>
        <v/>
      </c>
      <c r="C64" s="30"/>
      <c r="D64" s="58"/>
      <c r="E64" s="30"/>
      <c r="F64" s="30"/>
      <c r="G64" s="30"/>
      <c r="H64" s="31"/>
      <c r="I64" s="32" t="str">
        <f>IF(E64="","",IF(H64&lt;&gt;"",H64,IFERROR(INDEX(Configuración!$G$6:$G$11,R64),"")))</f>
        <v/>
      </c>
      <c r="J64" s="32" t="str">
        <f>IF(OR(E64="",U64=""),"",IF(INDEX(Configuración!$G$26:$G$37,U64)="","",INDEX(Configuración!$G$26:$G$37,U64)))</f>
        <v/>
      </c>
      <c r="K64" s="59" t="str">
        <f t="shared" si="7"/>
        <v/>
      </c>
      <c r="L64" s="60" t="str">
        <f>IF(D64="","",IFERROR(INDEX(Configuración!$B$24:$B$29,MATCH(D64,Configuración!$C$24:$C$29,1)),""))</f>
        <v/>
      </c>
      <c r="M64" s="61" t="str">
        <f>IF(OR(G64="",J64=""),"",IFERROR(INDEX(Configuración!$G$14:$G$23,MATCH(G64,Configuración!$F$14:$F$23,0))*J64/60,""))</f>
        <v/>
      </c>
      <c r="N64" s="62" t="str">
        <f>IF(COUNTA(C64:H64)=0,"",IF(C64="","Falta el día",IF(D64="","Falta la hora",IF(E64="","Falta la actividad",IF(F64="","Falta la sala",IF(U64="","Esta actividad no está en «Configuración»",IF(R64="","Esta sala no está en «Configuración»",IF(O64="","Elige el día en la lista",IF(P64="","Escribe la hora así: 19:00",IF(COUNTIFS($O$6:$O$65,O64,$R$6:$R$65,R64,$P$6:$P$65,"&lt;"&amp;Q64,$Q$6:$Q$65,"&gt;"&amp;P64)&gt;1,"Se solapa con otra clase en la misma sala",IF(AND(G64&lt;&gt;"",COUNTIFS($O$6:$O$65,O64,$G$6:$G$65,G64,$P$6:$P$65,"&lt;"&amp;Q64,$Q$6:$Q$65,"&gt;"&amp;P64)&gt;1),"El monitor tiene otra clase a la vez",IF(AND(G64&lt;&gt;"",ISNA(MATCH(G64,Configuración!$F$14:$F$23,0))),"Este monitor no está en «Configuración»",IF(AND(H64&lt;&gt;"",N(INDEX(Configuración!$G$6:$G$11,R64))&gt;0,N(H64)&gt;N(INDEX(Configuración!$G$6:$G$11,R64))),"Más plazas que el aforo de la sala","")))))))))))))</f>
        <v/>
      </c>
      <c r="O64" t="str">
        <f>IF(C64="","",IFERROR(MATCH(C64,{"Lunes","Martes","Miércoles","Jueves","Viernes","Sábado","Domingo"},0),""))</f>
        <v/>
      </c>
      <c r="P64" t="str">
        <f t="shared" si="8"/>
        <v/>
      </c>
      <c r="Q64" t="str">
        <f t="shared" si="9"/>
        <v/>
      </c>
      <c r="R64" t="str">
        <f>IF(F64="","",IFERROR(MATCH(F64,Configuración!$F$6:$F$11,0),""))</f>
        <v/>
      </c>
      <c r="S64" t="str">
        <f t="shared" si="10"/>
        <v/>
      </c>
      <c r="T64" t="str">
        <f t="shared" si="11"/>
        <v/>
      </c>
      <c r="U64" t="str">
        <f>IF(E64="","",IFERROR(MATCH(E64,Configuración!$F$26:$F$37,0),""))</f>
        <v/>
      </c>
    </row>
    <row r="65" spans="2:21" ht="18" customHeight="1" x14ac:dyDescent="0.2">
      <c r="B65" s="57" t="str">
        <f t="shared" si="6"/>
        <v/>
      </c>
      <c r="C65" s="30"/>
      <c r="D65" s="58"/>
      <c r="E65" s="30"/>
      <c r="F65" s="30"/>
      <c r="G65" s="30"/>
      <c r="H65" s="31"/>
      <c r="I65" s="32" t="str">
        <f>IF(E65="","",IF(H65&lt;&gt;"",H65,IFERROR(INDEX(Configuración!$G$6:$G$11,R65),"")))</f>
        <v/>
      </c>
      <c r="J65" s="32" t="str">
        <f>IF(OR(E65="",U65=""),"",IF(INDEX(Configuración!$G$26:$G$37,U65)="","",INDEX(Configuración!$G$26:$G$37,U65)))</f>
        <v/>
      </c>
      <c r="K65" s="59" t="str">
        <f t="shared" si="7"/>
        <v/>
      </c>
      <c r="L65" s="60" t="str">
        <f>IF(D65="","",IFERROR(INDEX(Configuración!$B$24:$B$29,MATCH(D65,Configuración!$C$24:$C$29,1)),""))</f>
        <v/>
      </c>
      <c r="M65" s="61" t="str">
        <f>IF(OR(G65="",J65=""),"",IFERROR(INDEX(Configuración!$G$14:$G$23,MATCH(G65,Configuración!$F$14:$F$23,0))*J65/60,""))</f>
        <v/>
      </c>
      <c r="N65" s="62" t="str">
        <f>IF(COUNTA(C65:H65)=0,"",IF(C65="","Falta el día",IF(D65="","Falta la hora",IF(E65="","Falta la actividad",IF(F65="","Falta la sala",IF(U65="","Esta actividad no está en «Configuración»",IF(R65="","Esta sala no está en «Configuración»",IF(O65="","Elige el día en la lista",IF(P65="","Escribe la hora así: 19:00",IF(COUNTIFS($O$6:$O$65,O65,$R$6:$R$65,R65,$P$6:$P$65,"&lt;"&amp;Q65,$Q$6:$Q$65,"&gt;"&amp;P65)&gt;1,"Se solapa con otra clase en la misma sala",IF(AND(G65&lt;&gt;"",COUNTIFS($O$6:$O$65,O65,$G$6:$G$65,G65,$P$6:$P$65,"&lt;"&amp;Q65,$Q$6:$Q$65,"&gt;"&amp;P65)&gt;1),"El monitor tiene otra clase a la vez",IF(AND(G65&lt;&gt;"",ISNA(MATCH(G65,Configuración!$F$14:$F$23,0))),"Este monitor no está en «Configuración»",IF(AND(H65&lt;&gt;"",N(INDEX(Configuración!$G$6:$G$11,R65))&gt;0,N(H65)&gt;N(INDEX(Configuración!$G$6:$G$11,R65))),"Más plazas que el aforo de la sala","")))))))))))))</f>
        <v/>
      </c>
      <c r="O65" t="str">
        <f>IF(C65="","",IFERROR(MATCH(C65,{"Lunes","Martes","Miércoles","Jueves","Viernes","Sábado","Domingo"},0),""))</f>
        <v/>
      </c>
      <c r="P65" t="str">
        <f t="shared" si="8"/>
        <v/>
      </c>
      <c r="Q65" t="str">
        <f t="shared" si="9"/>
        <v/>
      </c>
      <c r="R65" t="str">
        <f>IF(F65="","",IFERROR(MATCH(F65,Configuración!$F$6:$F$11,0),""))</f>
        <v/>
      </c>
      <c r="S65" t="str">
        <f t="shared" si="10"/>
        <v/>
      </c>
      <c r="T65" t="str">
        <f t="shared" si="11"/>
        <v/>
      </c>
      <c r="U65" t="str">
        <f>IF(E65="","",IFERROR(MATCH(E65,Configuración!$F$26:$F$37,0),""))</f>
        <v/>
      </c>
    </row>
  </sheetData>
  <conditionalFormatting sqref="B6:B65">
    <cfRule type="expression" dxfId="91" priority="1">
      <formula>$U6=1</formula>
    </cfRule>
    <cfRule type="expression" dxfId="90" priority="2">
      <formula>$U6=2</formula>
    </cfRule>
    <cfRule type="expression" dxfId="89" priority="3">
      <formula>$U6=3</formula>
    </cfRule>
    <cfRule type="expression" dxfId="88" priority="4">
      <formula>$U6=4</formula>
    </cfRule>
    <cfRule type="expression" dxfId="87" priority="5">
      <formula>$U6=5</formula>
    </cfRule>
    <cfRule type="expression" dxfId="86" priority="6">
      <formula>$U6=6</formula>
    </cfRule>
    <cfRule type="expression" dxfId="85" priority="7">
      <formula>$U6=7</formula>
    </cfRule>
    <cfRule type="expression" dxfId="84" priority="8">
      <formula>$U6=8</formula>
    </cfRule>
    <cfRule type="expression" dxfId="83" priority="9">
      <formula>$U6=9</formula>
    </cfRule>
    <cfRule type="expression" dxfId="82" priority="10">
      <formula>$U6=10</formula>
    </cfRule>
    <cfRule type="expression" dxfId="81" priority="11">
      <formula>$U6=11</formula>
    </cfRule>
    <cfRule type="expression" dxfId="80" priority="12">
      <formula>$U6=12</formula>
    </cfRule>
  </conditionalFormatting>
  <dataValidations count="3">
    <dataValidation type="list" allowBlank="1" showErrorMessage="1" errorTitle="Día" error="Elige un día de la lista." sqref="C6:C65" xr:uid="{00000000-0002-0000-0200-000000000000}">
      <formula1>"Lunes,Martes,Miércoles,Jueves,Viernes,Sábado,Domingo"</formula1>
    </dataValidation>
    <dataValidation type="time" allowBlank="1" showErrorMessage="1" errorTitle="Hora de inicio" error="Escribe la hora así: 19:00 (entre las 05:00 y las 23:45)." sqref="D6:D65" xr:uid="{00000000-0002-0000-0200-000001000000}">
      <formula1>0.208333</formula1>
      <formula2>0.989583</formula2>
    </dataValidation>
    <dataValidation type="whole" allowBlank="1" showErrorMessage="1" errorTitle="Plazas" error="Escribe un número de plazas o déjalo vacío para usar el aforo de la sala." sqref="H6:H65" xr:uid="{00000000-0002-0000-0200-000005000000}">
      <formula1>1</formula1>
      <formula2>500</formula2>
    </dataValidation>
  </dataValidations>
  <printOptions horizontalCentered="1"/>
  <pageMargins left="0.4" right="0.4" top="0.45" bottom="0.55000000000000004" header="0.2" footer="0.25"/>
  <pageSetup paperSize="9" fitToHeight="0" orientation="landscape"/>
  <headerFooter>
    <oddFooter>&amp;L&amp;"Arial,Regular"&amp;7 &amp;K5C697D&amp;A&amp;C&amp;"Arial,Regular"&amp;7 &amp;K5C697DPlantilla gratuita de GymGym · gymgym.es/recursos&amp;R&amp;"Arial,Regular"&amp;7 &amp;K5C697DPágina &amp;P de &amp;N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errorTitle="Actividad" error="Elige una actividad de la lista (las editas en «Configuración»)." xr:uid="{00000000-0002-0000-0200-000002000000}">
          <x14:formula1>
            <xm:f>Configuración!$F$26:$F$37</xm:f>
          </x14:formula1>
          <xm:sqref>E6:E65</xm:sqref>
        </x14:dataValidation>
        <x14:dataValidation type="list" allowBlank="1" showErrorMessage="1" errorTitle="Sala" error="Elige una sala de la lista (las editas en «Configuración»)." xr:uid="{00000000-0002-0000-0200-000003000000}">
          <x14:formula1>
            <xm:f>Configuración!$F$6:$F$11</xm:f>
          </x14:formula1>
          <xm:sqref>F6:F65</xm:sqref>
        </x14:dataValidation>
        <x14:dataValidation type="list" allowBlank="1" showErrorMessage="1" errorTitle="Monitor" error="Elige un monitor de la lista (los editas en «Configuración»)." xr:uid="{00000000-0002-0000-0200-000004000000}">
          <x14:formula1>
            <xm:f>Configuración!$F$14:$F$23</xm:f>
          </x14:formula1>
          <xm:sqref>G6:G65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A3CCF"/>
    <pageSetUpPr fitToPage="1"/>
  </sheetPr>
  <dimension ref="B1:Y65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1.5" customWidth="1"/>
    <col min="2" max="2" width="10.5" customWidth="1"/>
    <col min="3" max="9" width="19.6640625" customWidth="1"/>
    <col min="11" max="25" width="13" hidden="1" customWidth="1"/>
  </cols>
  <sheetData>
    <row r="1" spans="2:25" ht="34" customHeight="1" x14ac:dyDescent="0.3">
      <c r="B1" s="157" t="str">
        <f>IF(Configuración!$C$6="","",Configuración!$C$6)</f>
        <v>Centro de ejemplo</v>
      </c>
      <c r="C1" s="142"/>
      <c r="D1" s="142"/>
      <c r="E1" s="142"/>
      <c r="F1" s="142"/>
      <c r="G1" s="156" t="str">
        <f>IF(Configuración!$C$8="","",Configuración!$C$8)</f>
        <v>Reserva tu plaza en recepción. Si no puedes venir, avisa para dejarla libre.</v>
      </c>
      <c r="H1" s="142"/>
      <c r="I1" s="142"/>
    </row>
    <row r="2" spans="2:25" ht="20" customHeight="1" x14ac:dyDescent="0.2">
      <c r="B2" s="154" t="str">
        <f>IF(Configuración!$C$7="","",Configuración!$C$7)</f>
        <v>Horario de clases · Temporada 2026-2027</v>
      </c>
      <c r="C2" s="142"/>
      <c r="D2" s="142"/>
      <c r="E2" s="142"/>
      <c r="F2" s="142"/>
      <c r="G2" s="142"/>
      <c r="H2" s="142"/>
      <c r="I2" s="142"/>
    </row>
    <row r="3" spans="2:25" ht="5" customHeight="1" x14ac:dyDescent="0.2">
      <c r="B3" s="2"/>
      <c r="C3" s="2"/>
      <c r="D3" s="2"/>
      <c r="E3" s="2"/>
      <c r="F3" s="2"/>
      <c r="G3" s="2"/>
      <c r="H3" s="2"/>
      <c r="I3" s="2"/>
    </row>
    <row r="4" spans="2:25" ht="14" customHeight="1" x14ac:dyDescent="0.2">
      <c r="C4" s="155" t="str">
        <f>IF(AND($K$64&lt;&gt;"",COUNTIF(Clases!$S$6:$S$65,"&gt;"&amp;$K$64)&gt;0),"Hay más combinaciones de hora y sala de las que caben (30): las últimas no salen en el horario.","")</f>
        <v/>
      </c>
      <c r="D4" s="142"/>
      <c r="E4" s="142"/>
      <c r="F4" s="142"/>
      <c r="G4" s="142"/>
      <c r="H4" s="142"/>
      <c r="I4" s="142"/>
      <c r="K4">
        <f>COUNT(K6:K65)</f>
        <v>13</v>
      </c>
    </row>
    <row r="5" spans="2:25" ht="24" customHeight="1" x14ac:dyDescent="0.2">
      <c r="B5" s="63" t="s">
        <v>117</v>
      </c>
      <c r="C5" s="63" t="s">
        <v>110</v>
      </c>
      <c r="D5" s="63" t="s">
        <v>111</v>
      </c>
      <c r="E5" s="63" t="s">
        <v>112</v>
      </c>
      <c r="F5" s="63" t="s">
        <v>113</v>
      </c>
      <c r="G5" s="63" t="s">
        <v>114</v>
      </c>
      <c r="H5" s="63" t="s">
        <v>115</v>
      </c>
      <c r="I5" s="63" t="s">
        <v>116</v>
      </c>
      <c r="K5" t="s">
        <v>107</v>
      </c>
    </row>
    <row r="6" spans="2:25" ht="20.5" customHeight="1" x14ac:dyDescent="0.2">
      <c r="B6" s="64">
        <f>IF($K6="","",INT($K6/10)/1440)</f>
        <v>0.29166666666666669</v>
      </c>
      <c r="C6" s="65" t="str">
        <f>IF(L6&gt;0,INDEX(Clases!$E$6:$E$65,L6),IF(L6&lt;0,"2 clases a la vez",""))</f>
        <v>Cross training</v>
      </c>
      <c r="D6" s="65" t="str">
        <f>IF(M6&gt;0,INDEX(Clases!$E$6:$E$65,M6),IF(M6&lt;0,"2 clases a la vez",""))</f>
        <v>Cross training</v>
      </c>
      <c r="E6" s="65" t="str">
        <f>IF(N6&gt;0,INDEX(Clases!$E$6:$E$65,N6),IF(N6&lt;0,"2 clases a la vez",""))</f>
        <v>Cross training</v>
      </c>
      <c r="F6" s="65" t="str">
        <f>IF(O6&gt;0,INDEX(Clases!$E$6:$E$65,O6),IF(O6&lt;0,"2 clases a la vez",""))</f>
        <v>Cross training</v>
      </c>
      <c r="G6" s="65" t="str">
        <f>IF(P6&gt;0,INDEX(Clases!$E$6:$E$65,P6),IF(P6&lt;0,"2 clases a la vez",""))</f>
        <v>Cross training</v>
      </c>
      <c r="H6" s="65" t="str">
        <f>IF(Q6&gt;0,INDEX(Clases!$E$6:$E$65,Q6),IF(Q6&lt;0,"2 clases a la vez",""))</f>
        <v/>
      </c>
      <c r="I6" s="65" t="str">
        <f>IF(R6&gt;0,INDEX(Clases!$E$6:$E$65,R6),IF(R6&lt;0,"2 clases a la vez",""))</f>
        <v/>
      </c>
      <c r="K6">
        <f>IFERROR(SMALL(Clases!$S$6:$S$65,1),"")</f>
        <v>4201</v>
      </c>
      <c r="L6">
        <f>IF($K6="",0,IF(COUNTIF(Clases!$T$6:$T$65,1*100000+$K6)&gt;1,-1,IFERROR(MATCH(1*100000+$K6,Clases!$T$6:$T$65,0),0)))</f>
        <v>1</v>
      </c>
      <c r="M6">
        <f>IF($K6="",0,IF(COUNTIF(Clases!$T$6:$T$65,2*100000+$K6)&gt;1,-1,IFERROR(MATCH(2*100000+$K6,Clases!$T$6:$T$65,0),0)))</f>
        <v>8</v>
      </c>
      <c r="N6">
        <f>IF($K6="",0,IF(COUNTIF(Clases!$T$6:$T$65,3*100000+$K6)&gt;1,-1,IFERROR(MATCH(3*100000+$K6,Clases!$T$6:$T$65,0),0)))</f>
        <v>16</v>
      </c>
      <c r="O6">
        <f>IF($K6="",0,IF(COUNTIF(Clases!$T$6:$T$65,4*100000+$K6)&gt;1,-1,IFERROR(MATCH(4*100000+$K6,Clases!$T$6:$T$65,0),0)))</f>
        <v>23</v>
      </c>
      <c r="P6">
        <f>IF($K6="",0,IF(COUNTIF(Clases!$T$6:$T$65,5*100000+$K6)&gt;1,-1,IFERROR(MATCH(5*100000+$K6,Clases!$T$6:$T$65,0),0)))</f>
        <v>31</v>
      </c>
      <c r="Q6">
        <f>IF($K6="",0,IF(COUNTIF(Clases!$T$6:$T$65,6*100000+$K6)&gt;1,-1,IFERROR(MATCH(6*100000+$K6,Clases!$T$6:$T$65,0),0)))</f>
        <v>0</v>
      </c>
      <c r="R6">
        <f>IF($K6="",0,IF(COUNTIF(Clases!$T$6:$T$65,7*100000+$K6)&gt;1,-1,IFERROR(MATCH(7*100000+$K6,Clases!$T$6:$T$65,0),0)))</f>
        <v>0</v>
      </c>
      <c r="S6">
        <f>IF(L6&gt;0,N(INDEX(Clases!$U$6:$U$65,L6)),IF(L6&lt;0,13,0))</f>
        <v>1</v>
      </c>
      <c r="T6">
        <f>IF(M6&gt;0,N(INDEX(Clases!$U$6:$U$65,M6)),IF(M6&lt;0,13,0))</f>
        <v>1</v>
      </c>
      <c r="U6">
        <f>IF(N6&gt;0,N(INDEX(Clases!$U$6:$U$65,N6)),IF(N6&lt;0,13,0))</f>
        <v>1</v>
      </c>
      <c r="V6">
        <f>IF(O6&gt;0,N(INDEX(Clases!$U$6:$U$65,O6)),IF(O6&lt;0,13,0))</f>
        <v>1</v>
      </c>
      <c r="W6">
        <f>IF(P6&gt;0,N(INDEX(Clases!$U$6:$U$65,P6)),IF(P6&lt;0,13,0))</f>
        <v>1</v>
      </c>
      <c r="X6">
        <f>IF(Q6&gt;0,N(INDEX(Clases!$U$6:$U$65,Q6)),IF(Q6&lt;0,13,0))</f>
        <v>0</v>
      </c>
      <c r="Y6">
        <f>IF(R6&gt;0,N(INDEX(Clases!$U$6:$U$65,R6)),IF(R6&lt;0,13,0))</f>
        <v>0</v>
      </c>
    </row>
    <row r="7" spans="2:25" ht="16" customHeight="1" x14ac:dyDescent="0.2">
      <c r="B7" s="66" t="str">
        <f>IF($K6="","",IFERROR(INDEX(Configuración!$F$6:$F$11,MOD($K6,10)),""))</f>
        <v>Box</v>
      </c>
      <c r="C7" s="67" t="str">
        <f>IF(L6&gt;0,INDEX(Clases!$G$6:$G$65,L6)&amp;IF(AND(INDEX(Clases!$G$6:$G$65,L6)&lt;&gt;"",INDEX(Clases!$J$6:$J$65,L6)&lt;&gt;"")," · ","")&amp;IF(INDEX(Clases!$J$6:$J$65,L6)="","",INDEX(Clases!$J$6:$J$65,L6)&amp;" min"),IF(L6&lt;0,"Revisa la hoja «Clases»",""))</f>
        <v>Marta · 60 min</v>
      </c>
      <c r="D7" s="67" t="str">
        <f>IF(M6&gt;0,INDEX(Clases!$G$6:$G$65,M6)&amp;IF(AND(INDEX(Clases!$G$6:$G$65,M6)&lt;&gt;"",INDEX(Clases!$J$6:$J$65,M6)&lt;&gt;"")," · ","")&amp;IF(INDEX(Clases!$J$6:$J$65,M6)="","",INDEX(Clases!$J$6:$J$65,M6)&amp;" min"),IF(M6&lt;0,"Revisa la hoja «Clases»",""))</f>
        <v>Marta · 60 min</v>
      </c>
      <c r="E7" s="67" t="str">
        <f>IF(N6&gt;0,INDEX(Clases!$G$6:$G$65,N6)&amp;IF(AND(INDEX(Clases!$G$6:$G$65,N6)&lt;&gt;"",INDEX(Clases!$J$6:$J$65,N6)&lt;&gt;"")," · ","")&amp;IF(INDEX(Clases!$J$6:$J$65,N6)="","",INDEX(Clases!$J$6:$J$65,N6)&amp;" min"),IF(N6&lt;0,"Revisa la hoja «Clases»",""))</f>
        <v>Marta · 60 min</v>
      </c>
      <c r="F7" s="67" t="str">
        <f>IF(O6&gt;0,INDEX(Clases!$G$6:$G$65,O6)&amp;IF(AND(INDEX(Clases!$G$6:$G$65,O6)&lt;&gt;"",INDEX(Clases!$J$6:$J$65,O6)&lt;&gt;"")," · ","")&amp;IF(INDEX(Clases!$J$6:$J$65,O6)="","",INDEX(Clases!$J$6:$J$65,O6)&amp;" min"),IF(O6&lt;0,"Revisa la hoja «Clases»",""))</f>
        <v>Marta · 60 min</v>
      </c>
      <c r="G7" s="67" t="str">
        <f>IF(P6&gt;0,INDEX(Clases!$G$6:$G$65,P6)&amp;IF(AND(INDEX(Clases!$G$6:$G$65,P6)&lt;&gt;"",INDEX(Clases!$J$6:$J$65,P6)&lt;&gt;"")," · ","")&amp;IF(INDEX(Clases!$J$6:$J$65,P6)="","",INDEX(Clases!$J$6:$J$65,P6)&amp;" min"),IF(P6&lt;0,"Revisa la hoja «Clases»",""))</f>
        <v>Marta · 60 min</v>
      </c>
      <c r="H7" s="67" t="str">
        <f>IF(Q6&gt;0,INDEX(Clases!$G$6:$G$65,Q6)&amp;IF(AND(INDEX(Clases!$G$6:$G$65,Q6)&lt;&gt;"",INDEX(Clases!$J$6:$J$65,Q6)&lt;&gt;"")," · ","")&amp;IF(INDEX(Clases!$J$6:$J$65,Q6)="","",INDEX(Clases!$J$6:$J$65,Q6)&amp;" min"),IF(Q6&lt;0,"Revisa la hoja «Clases»",""))</f>
        <v/>
      </c>
      <c r="I7" s="67" t="str">
        <f>IF(R6&gt;0,INDEX(Clases!$G$6:$G$65,R6)&amp;IF(AND(INDEX(Clases!$G$6:$G$65,R6)&lt;&gt;"",INDEX(Clases!$J$6:$J$65,R6)&lt;&gt;"")," · ","")&amp;IF(INDEX(Clases!$J$6:$J$65,R6)="","",INDEX(Clases!$J$6:$J$65,R6)&amp;" min"),IF(R6&lt;0,"Revisa la hoja «Clases»",""))</f>
        <v/>
      </c>
      <c r="S7">
        <f t="shared" ref="S7:Y7" si="0">S6</f>
        <v>1</v>
      </c>
      <c r="T7">
        <f t="shared" si="0"/>
        <v>1</v>
      </c>
      <c r="U7">
        <f t="shared" si="0"/>
        <v>1</v>
      </c>
      <c r="V7">
        <f t="shared" si="0"/>
        <v>1</v>
      </c>
      <c r="W7">
        <f t="shared" si="0"/>
        <v>1</v>
      </c>
      <c r="X7">
        <f t="shared" si="0"/>
        <v>0</v>
      </c>
      <c r="Y7">
        <f t="shared" si="0"/>
        <v>0</v>
      </c>
    </row>
    <row r="8" spans="2:25" ht="20.5" customHeight="1" x14ac:dyDescent="0.2">
      <c r="B8" s="64">
        <f>IF($K8="","",INT($K8/10)/1440)</f>
        <v>0.375</v>
      </c>
      <c r="C8" s="65" t="str">
        <f>IF(L8&gt;0,INDEX(Clases!$E$6:$E$65,L8),IF(L8&lt;0,"2 clases a la vez",""))</f>
        <v>Pilates</v>
      </c>
      <c r="D8" s="65" t="str">
        <f>IF(M8&gt;0,INDEX(Clases!$E$6:$E$65,M8),IF(M8&lt;0,"2 clases a la vez",""))</f>
        <v/>
      </c>
      <c r="E8" s="65" t="str">
        <f>IF(N8&gt;0,INDEX(Clases!$E$6:$E$65,N8),IF(N8&lt;0,"2 clases a la vez",""))</f>
        <v>Pilates</v>
      </c>
      <c r="F8" s="65" t="str">
        <f>IF(O8&gt;0,INDEX(Clases!$E$6:$E$65,O8),IF(O8&lt;0,"2 clases a la vez",""))</f>
        <v/>
      </c>
      <c r="G8" s="65" t="str">
        <f>IF(P8&gt;0,INDEX(Clases!$E$6:$E$65,P8),IF(P8&lt;0,"2 clases a la vez",""))</f>
        <v>Pilates</v>
      </c>
      <c r="H8" s="65" t="str">
        <f>IF(Q8&gt;0,INDEX(Clases!$E$6:$E$65,Q8),IF(Q8&lt;0,"2 clases a la vez",""))</f>
        <v/>
      </c>
      <c r="I8" s="65" t="str">
        <f>IF(R8&gt;0,INDEX(Clases!$E$6:$E$65,R8),IF(R8&lt;0,"2 clases a la vez",""))</f>
        <v/>
      </c>
      <c r="K8">
        <f>IF(K6="","",IFERROR(SMALL(Clases!$S$6:$S$65,COUNTIF(Clases!$S$6:$S$65,"&lt;="&amp;K6)+1),""))</f>
        <v>5402</v>
      </c>
      <c r="L8">
        <f>IF($K8="",0,IF(COUNTIF(Clases!$T$6:$T$65,1*100000+$K8)&gt;1,-1,IFERROR(MATCH(1*100000+$K8,Clases!$T$6:$T$65,0),0)))</f>
        <v>2</v>
      </c>
      <c r="M8">
        <f>IF($K8="",0,IF(COUNTIF(Clases!$T$6:$T$65,2*100000+$K8)&gt;1,-1,IFERROR(MATCH(2*100000+$K8,Clases!$T$6:$T$65,0),0)))</f>
        <v>0</v>
      </c>
      <c r="N8">
        <f>IF($K8="",0,IF(COUNTIF(Clases!$T$6:$T$65,3*100000+$K8)&gt;1,-1,IFERROR(MATCH(3*100000+$K8,Clases!$T$6:$T$65,0),0)))</f>
        <v>17</v>
      </c>
      <c r="O8">
        <f>IF($K8="",0,IF(COUNTIF(Clases!$T$6:$T$65,4*100000+$K8)&gt;1,-1,IFERROR(MATCH(4*100000+$K8,Clases!$T$6:$T$65,0),0)))</f>
        <v>0</v>
      </c>
      <c r="P8">
        <f>IF($K8="",0,IF(COUNTIF(Clases!$T$6:$T$65,5*100000+$K8)&gt;1,-1,IFERROR(MATCH(5*100000+$K8,Clases!$T$6:$T$65,0),0)))</f>
        <v>32</v>
      </c>
      <c r="Q8">
        <f>IF($K8="",0,IF(COUNTIF(Clases!$T$6:$T$65,6*100000+$K8)&gt;1,-1,IFERROR(MATCH(6*100000+$K8,Clases!$T$6:$T$65,0),0)))</f>
        <v>0</v>
      </c>
      <c r="R8">
        <f>IF($K8="",0,IF(COUNTIF(Clases!$T$6:$T$65,7*100000+$K8)&gt;1,-1,IFERROR(MATCH(7*100000+$K8,Clases!$T$6:$T$65,0),0)))</f>
        <v>0</v>
      </c>
      <c r="S8">
        <f>IF(L8&gt;0,N(INDEX(Clases!$U$6:$U$65,L8)),IF(L8&lt;0,13,0))</f>
        <v>3</v>
      </c>
      <c r="T8">
        <f>IF(M8&gt;0,N(INDEX(Clases!$U$6:$U$65,M8)),IF(M8&lt;0,13,0))</f>
        <v>0</v>
      </c>
      <c r="U8">
        <f>IF(N8&gt;0,N(INDEX(Clases!$U$6:$U$65,N8)),IF(N8&lt;0,13,0))</f>
        <v>3</v>
      </c>
      <c r="V8">
        <f>IF(O8&gt;0,N(INDEX(Clases!$U$6:$U$65,O8)),IF(O8&lt;0,13,0))</f>
        <v>0</v>
      </c>
      <c r="W8">
        <f>IF(P8&gt;0,N(INDEX(Clases!$U$6:$U$65,P8)),IF(P8&lt;0,13,0))</f>
        <v>3</v>
      </c>
      <c r="X8">
        <f>IF(Q8&gt;0,N(INDEX(Clases!$U$6:$U$65,Q8)),IF(Q8&lt;0,13,0))</f>
        <v>0</v>
      </c>
      <c r="Y8">
        <f>IF(R8&gt;0,N(INDEX(Clases!$U$6:$U$65,R8)),IF(R8&lt;0,13,0))</f>
        <v>0</v>
      </c>
    </row>
    <row r="9" spans="2:25" ht="16" customHeight="1" x14ac:dyDescent="0.2">
      <c r="B9" s="66" t="str">
        <f>IF($K8="","",IFERROR(INDEX(Configuración!$F$6:$F$11,MOD($K8,10)),""))</f>
        <v>Estudio</v>
      </c>
      <c r="C9" s="67" t="str">
        <f>IF(L8&gt;0,INDEX(Clases!$G$6:$G$65,L8)&amp;IF(AND(INDEX(Clases!$G$6:$G$65,L8)&lt;&gt;"",INDEX(Clases!$J$6:$J$65,L8)&lt;&gt;"")," · ","")&amp;IF(INDEX(Clases!$J$6:$J$65,L8)="","",INDEX(Clases!$J$6:$J$65,L8)&amp;" min"),IF(L8&lt;0,"Revisa la hoja «Clases»",""))</f>
        <v>Sara · 55 min</v>
      </c>
      <c r="D9" s="67" t="str">
        <f>IF(M8&gt;0,INDEX(Clases!$G$6:$G$65,M8)&amp;IF(AND(INDEX(Clases!$G$6:$G$65,M8)&lt;&gt;"",INDEX(Clases!$J$6:$J$65,M8)&lt;&gt;"")," · ","")&amp;IF(INDEX(Clases!$J$6:$J$65,M8)="","",INDEX(Clases!$J$6:$J$65,M8)&amp;" min"),IF(M8&lt;0,"Revisa la hoja «Clases»",""))</f>
        <v/>
      </c>
      <c r="E9" s="67" t="str">
        <f>IF(N8&gt;0,INDEX(Clases!$G$6:$G$65,N8)&amp;IF(AND(INDEX(Clases!$G$6:$G$65,N8)&lt;&gt;"",INDEX(Clases!$J$6:$J$65,N8)&lt;&gt;"")," · ","")&amp;IF(INDEX(Clases!$J$6:$J$65,N8)="","",INDEX(Clases!$J$6:$J$65,N8)&amp;" min"),IF(N8&lt;0,"Revisa la hoja «Clases»",""))</f>
        <v>Sara · 55 min</v>
      </c>
      <c r="F9" s="67" t="str">
        <f>IF(O8&gt;0,INDEX(Clases!$G$6:$G$65,O8)&amp;IF(AND(INDEX(Clases!$G$6:$G$65,O8)&lt;&gt;"",INDEX(Clases!$J$6:$J$65,O8)&lt;&gt;"")," · ","")&amp;IF(INDEX(Clases!$J$6:$J$65,O8)="","",INDEX(Clases!$J$6:$J$65,O8)&amp;" min"),IF(O8&lt;0,"Revisa la hoja «Clases»",""))</f>
        <v/>
      </c>
      <c r="G9" s="67" t="str">
        <f>IF(P8&gt;0,INDEX(Clases!$G$6:$G$65,P8)&amp;IF(AND(INDEX(Clases!$G$6:$G$65,P8)&lt;&gt;"",INDEX(Clases!$J$6:$J$65,P8)&lt;&gt;"")," · ","")&amp;IF(INDEX(Clases!$J$6:$J$65,P8)="","",INDEX(Clases!$J$6:$J$65,P8)&amp;" min"),IF(P8&lt;0,"Revisa la hoja «Clases»",""))</f>
        <v>Sara · 55 min</v>
      </c>
      <c r="H9" s="67" t="str">
        <f>IF(Q8&gt;0,INDEX(Clases!$G$6:$G$65,Q8)&amp;IF(AND(INDEX(Clases!$G$6:$G$65,Q8)&lt;&gt;"",INDEX(Clases!$J$6:$J$65,Q8)&lt;&gt;"")," · ","")&amp;IF(INDEX(Clases!$J$6:$J$65,Q8)="","",INDEX(Clases!$J$6:$J$65,Q8)&amp;" min"),IF(Q8&lt;0,"Revisa la hoja «Clases»",""))</f>
        <v/>
      </c>
      <c r="I9" s="67" t="str">
        <f>IF(R8&gt;0,INDEX(Clases!$G$6:$G$65,R8)&amp;IF(AND(INDEX(Clases!$G$6:$G$65,R8)&lt;&gt;"",INDEX(Clases!$J$6:$J$65,R8)&lt;&gt;"")," · ","")&amp;IF(INDEX(Clases!$J$6:$J$65,R8)="","",INDEX(Clases!$J$6:$J$65,R8)&amp;" min"),IF(R8&lt;0,"Revisa la hoja «Clases»",""))</f>
        <v/>
      </c>
      <c r="S9">
        <f t="shared" ref="S9:Y9" si="1">S8</f>
        <v>3</v>
      </c>
      <c r="T9">
        <f t="shared" si="1"/>
        <v>0</v>
      </c>
      <c r="U9">
        <f t="shared" si="1"/>
        <v>3</v>
      </c>
      <c r="V9">
        <f t="shared" si="1"/>
        <v>0</v>
      </c>
      <c r="W9">
        <f t="shared" si="1"/>
        <v>3</v>
      </c>
      <c r="X9">
        <f t="shared" si="1"/>
        <v>0</v>
      </c>
      <c r="Y9">
        <f t="shared" si="1"/>
        <v>0</v>
      </c>
    </row>
    <row r="10" spans="2:25" ht="20.5" customHeight="1" x14ac:dyDescent="0.2">
      <c r="B10" s="64">
        <f>IF($K10="","",INT($K10/10)/1440)</f>
        <v>0.41666666666666669</v>
      </c>
      <c r="C10" s="65" t="str">
        <f>IF(L10&gt;0,INDEX(Clases!$E$6:$E$65,L10),IF(L10&lt;0,"2 clases a la vez",""))</f>
        <v/>
      </c>
      <c r="D10" s="65" t="str">
        <f>IF(M10&gt;0,INDEX(Clases!$E$6:$E$65,M10),IF(M10&lt;0,"2 clases a la vez",""))</f>
        <v>Funcional sénior</v>
      </c>
      <c r="E10" s="65" t="str">
        <f>IF(N10&gt;0,INDEX(Clases!$E$6:$E$65,N10),IF(N10&lt;0,"2 clases a la vez",""))</f>
        <v/>
      </c>
      <c r="F10" s="65" t="str">
        <f>IF(O10&gt;0,INDEX(Clases!$E$6:$E$65,O10),IF(O10&lt;0,"2 clases a la vez",""))</f>
        <v>Funcional sénior</v>
      </c>
      <c r="G10" s="65" t="str">
        <f>IF(P10&gt;0,INDEX(Clases!$E$6:$E$65,P10),IF(P10&lt;0,"2 clases a la vez",""))</f>
        <v/>
      </c>
      <c r="H10" s="65" t="str">
        <f>IF(Q10&gt;0,INDEX(Clases!$E$6:$E$65,Q10),IF(Q10&lt;0,"2 clases a la vez",""))</f>
        <v>Open box</v>
      </c>
      <c r="I10" s="65" t="str">
        <f>IF(R10&gt;0,INDEX(Clases!$E$6:$E$65,R10),IF(R10&lt;0,"2 clases a la vez",""))</f>
        <v/>
      </c>
      <c r="K10">
        <f>IF(K8="","",IFERROR(SMALL(Clases!$S$6:$S$65,COUNTIF(Clases!$S$6:$S$65,"&lt;="&amp;K8)+1),""))</f>
        <v>6001</v>
      </c>
      <c r="L10">
        <f>IF($K10="",0,IF(COUNTIF(Clases!$T$6:$T$65,1*100000+$K10)&gt;1,-1,IFERROR(MATCH(1*100000+$K10,Clases!$T$6:$T$65,0),0)))</f>
        <v>0</v>
      </c>
      <c r="M10">
        <f>IF($K10="",0,IF(COUNTIF(Clases!$T$6:$T$65,2*100000+$K10)&gt;1,-1,IFERROR(MATCH(2*100000+$K10,Clases!$T$6:$T$65,0),0)))</f>
        <v>9</v>
      </c>
      <c r="N10">
        <f>IF($K10="",0,IF(COUNTIF(Clases!$T$6:$T$65,3*100000+$K10)&gt;1,-1,IFERROR(MATCH(3*100000+$K10,Clases!$T$6:$T$65,0),0)))</f>
        <v>0</v>
      </c>
      <c r="O10">
        <f>IF($K10="",0,IF(COUNTIF(Clases!$T$6:$T$65,4*100000+$K10)&gt;1,-1,IFERROR(MATCH(4*100000+$K10,Clases!$T$6:$T$65,0),0)))</f>
        <v>24</v>
      </c>
      <c r="P10">
        <f>IF($K10="",0,IF(COUNTIF(Clases!$T$6:$T$65,5*100000+$K10)&gt;1,-1,IFERROR(MATCH(5*100000+$K10,Clases!$T$6:$T$65,0),0)))</f>
        <v>0</v>
      </c>
      <c r="Q10">
        <f>IF($K10="",0,IF(COUNTIF(Clases!$T$6:$T$65,6*100000+$K10)&gt;1,-1,IFERROR(MATCH(6*100000+$K10,Clases!$T$6:$T$65,0),0)))</f>
        <v>35</v>
      </c>
      <c r="R10">
        <f>IF($K10="",0,IF(COUNTIF(Clases!$T$6:$T$65,7*100000+$K10)&gt;1,-1,IFERROR(MATCH(7*100000+$K10,Clases!$T$6:$T$65,0),0)))</f>
        <v>0</v>
      </c>
      <c r="S10">
        <f>IF(L10&gt;0,N(INDEX(Clases!$U$6:$U$65,L10)),IF(L10&lt;0,13,0))</f>
        <v>0</v>
      </c>
      <c r="T10">
        <f>IF(M10&gt;0,N(INDEX(Clases!$U$6:$U$65,M10)),IF(M10&lt;0,13,0))</f>
        <v>10</v>
      </c>
      <c r="U10">
        <f>IF(N10&gt;0,N(INDEX(Clases!$U$6:$U$65,N10)),IF(N10&lt;0,13,0))</f>
        <v>0</v>
      </c>
      <c r="V10">
        <f>IF(O10&gt;0,N(INDEX(Clases!$U$6:$U$65,O10)),IF(O10&lt;0,13,0))</f>
        <v>10</v>
      </c>
      <c r="W10">
        <f>IF(P10&gt;0,N(INDEX(Clases!$U$6:$U$65,P10)),IF(P10&lt;0,13,0))</f>
        <v>0</v>
      </c>
      <c r="X10">
        <f>IF(Q10&gt;0,N(INDEX(Clases!$U$6:$U$65,Q10)),IF(Q10&lt;0,13,0))</f>
        <v>7</v>
      </c>
      <c r="Y10">
        <f>IF(R10&gt;0,N(INDEX(Clases!$U$6:$U$65,R10)),IF(R10&lt;0,13,0))</f>
        <v>0</v>
      </c>
    </row>
    <row r="11" spans="2:25" ht="16" customHeight="1" x14ac:dyDescent="0.2">
      <c r="B11" s="66" t="str">
        <f>IF($K10="","",IFERROR(INDEX(Configuración!$F$6:$F$11,MOD($K10,10)),""))</f>
        <v>Box</v>
      </c>
      <c r="C11" s="67" t="str">
        <f>IF(L10&gt;0,INDEX(Clases!$G$6:$G$65,L10)&amp;IF(AND(INDEX(Clases!$G$6:$G$65,L10)&lt;&gt;"",INDEX(Clases!$J$6:$J$65,L10)&lt;&gt;"")," · ","")&amp;IF(INDEX(Clases!$J$6:$J$65,L10)="","",INDEX(Clases!$J$6:$J$65,L10)&amp;" min"),IF(L10&lt;0,"Revisa la hoja «Clases»",""))</f>
        <v/>
      </c>
      <c r="D11" s="67" t="str">
        <f>IF(M10&gt;0,INDEX(Clases!$G$6:$G$65,M10)&amp;IF(AND(INDEX(Clases!$G$6:$G$65,M10)&lt;&gt;"",INDEX(Clases!$J$6:$J$65,M10)&lt;&gt;"")," · ","")&amp;IF(INDEX(Clases!$J$6:$J$65,M10)="","",INDEX(Clases!$J$6:$J$65,M10)&amp;" min"),IF(M10&lt;0,"Revisa la hoja «Clases»",""))</f>
        <v>Javi · 50 min</v>
      </c>
      <c r="E11" s="67" t="str">
        <f>IF(N10&gt;0,INDEX(Clases!$G$6:$G$65,N10)&amp;IF(AND(INDEX(Clases!$G$6:$G$65,N10)&lt;&gt;"",INDEX(Clases!$J$6:$J$65,N10)&lt;&gt;"")," · ","")&amp;IF(INDEX(Clases!$J$6:$J$65,N10)="","",INDEX(Clases!$J$6:$J$65,N10)&amp;" min"),IF(N10&lt;0,"Revisa la hoja «Clases»",""))</f>
        <v/>
      </c>
      <c r="F11" s="67" t="str">
        <f>IF(O10&gt;0,INDEX(Clases!$G$6:$G$65,O10)&amp;IF(AND(INDEX(Clases!$G$6:$G$65,O10)&lt;&gt;"",INDEX(Clases!$J$6:$J$65,O10)&lt;&gt;"")," · ","")&amp;IF(INDEX(Clases!$J$6:$J$65,O10)="","",INDEX(Clases!$J$6:$J$65,O10)&amp;" min"),IF(O10&lt;0,"Revisa la hoja «Clases»",""))</f>
        <v>Javi · 50 min</v>
      </c>
      <c r="G11" s="67" t="str">
        <f>IF(P10&gt;0,INDEX(Clases!$G$6:$G$65,P10)&amp;IF(AND(INDEX(Clases!$G$6:$G$65,P10)&lt;&gt;"",INDEX(Clases!$J$6:$J$65,P10)&lt;&gt;"")," · ","")&amp;IF(INDEX(Clases!$J$6:$J$65,P10)="","",INDEX(Clases!$J$6:$J$65,P10)&amp;" min"),IF(P10&lt;0,"Revisa la hoja «Clases»",""))</f>
        <v/>
      </c>
      <c r="H11" s="67" t="str">
        <f>IF(Q10&gt;0,INDEX(Clases!$G$6:$G$65,Q10)&amp;IF(AND(INDEX(Clases!$G$6:$G$65,Q10)&lt;&gt;"",INDEX(Clases!$J$6:$J$65,Q10)&lt;&gt;"")," · ","")&amp;IF(INDEX(Clases!$J$6:$J$65,Q10)="","",INDEX(Clases!$J$6:$J$65,Q10)&amp;" min"),IF(Q10&lt;0,"Revisa la hoja «Clases»",""))</f>
        <v>Javi · 90 min</v>
      </c>
      <c r="I11" s="67" t="str">
        <f>IF(R10&gt;0,INDEX(Clases!$G$6:$G$65,R10)&amp;IF(AND(INDEX(Clases!$G$6:$G$65,R10)&lt;&gt;"",INDEX(Clases!$J$6:$J$65,R10)&lt;&gt;"")," · ","")&amp;IF(INDEX(Clases!$J$6:$J$65,R10)="","",INDEX(Clases!$J$6:$J$65,R10)&amp;" min"),IF(R10&lt;0,"Revisa la hoja «Clases»",""))</f>
        <v/>
      </c>
      <c r="S11">
        <f t="shared" ref="S11:Y11" si="2">S10</f>
        <v>0</v>
      </c>
      <c r="T11">
        <f t="shared" si="2"/>
        <v>10</v>
      </c>
      <c r="U11">
        <f t="shared" si="2"/>
        <v>0</v>
      </c>
      <c r="V11">
        <f t="shared" si="2"/>
        <v>10</v>
      </c>
      <c r="W11">
        <f t="shared" si="2"/>
        <v>0</v>
      </c>
      <c r="X11">
        <f t="shared" si="2"/>
        <v>7</v>
      </c>
      <c r="Y11">
        <f t="shared" si="2"/>
        <v>0</v>
      </c>
    </row>
    <row r="12" spans="2:25" ht="20.5" customHeight="1" x14ac:dyDescent="0.2">
      <c r="B12" s="64">
        <f>IF($K12="","",INT($K12/10)/1440)</f>
        <v>0.42708333333333331</v>
      </c>
      <c r="C12" s="65" t="str">
        <f>IF(L12&gt;0,INDEX(Clases!$E$6:$E$65,L12),IF(L12&lt;0,"2 clases a la vez",""))</f>
        <v/>
      </c>
      <c r="D12" s="65" t="str">
        <f>IF(M12&gt;0,INDEX(Clases!$E$6:$E$65,M12),IF(M12&lt;0,"2 clases a la vez",""))</f>
        <v>Movilidad</v>
      </c>
      <c r="E12" s="65" t="str">
        <f>IF(N12&gt;0,INDEX(Clases!$E$6:$E$65,N12),IF(N12&lt;0,"2 clases a la vez",""))</f>
        <v/>
      </c>
      <c r="F12" s="65" t="str">
        <f>IF(O12&gt;0,INDEX(Clases!$E$6:$E$65,O12),IF(O12&lt;0,"2 clases a la vez",""))</f>
        <v>Movilidad</v>
      </c>
      <c r="G12" s="65" t="str">
        <f>IF(P12&gt;0,INDEX(Clases!$E$6:$E$65,P12),IF(P12&lt;0,"2 clases a la vez",""))</f>
        <v/>
      </c>
      <c r="H12" s="65" t="str">
        <f>IF(Q12&gt;0,INDEX(Clases!$E$6:$E$65,Q12),IF(Q12&lt;0,"2 clases a la vez",""))</f>
        <v/>
      </c>
      <c r="I12" s="65" t="str">
        <f>IF(R12&gt;0,INDEX(Clases!$E$6:$E$65,R12),IF(R12&lt;0,"2 clases a la vez",""))</f>
        <v/>
      </c>
      <c r="K12">
        <f>IF(K10="","",IFERROR(SMALL(Clases!$S$6:$S$65,COUNTIF(Clases!$S$6:$S$65,"&lt;="&amp;K10)+1),""))</f>
        <v>6152</v>
      </c>
      <c r="L12">
        <f>IF($K12="",0,IF(COUNTIF(Clases!$T$6:$T$65,1*100000+$K12)&gt;1,-1,IFERROR(MATCH(1*100000+$K12,Clases!$T$6:$T$65,0),0)))</f>
        <v>0</v>
      </c>
      <c r="M12">
        <f>IF($K12="",0,IF(COUNTIF(Clases!$T$6:$T$65,2*100000+$K12)&gt;1,-1,IFERROR(MATCH(2*100000+$K12,Clases!$T$6:$T$65,0),0)))</f>
        <v>10</v>
      </c>
      <c r="N12">
        <f>IF($K12="",0,IF(COUNTIF(Clases!$T$6:$T$65,3*100000+$K12)&gt;1,-1,IFERROR(MATCH(3*100000+$K12,Clases!$T$6:$T$65,0),0)))</f>
        <v>0</v>
      </c>
      <c r="O12">
        <f>IF($K12="",0,IF(COUNTIF(Clases!$T$6:$T$65,4*100000+$K12)&gt;1,-1,IFERROR(MATCH(4*100000+$K12,Clases!$T$6:$T$65,0),0)))</f>
        <v>25</v>
      </c>
      <c r="P12">
        <f>IF($K12="",0,IF(COUNTIF(Clases!$T$6:$T$65,5*100000+$K12)&gt;1,-1,IFERROR(MATCH(5*100000+$K12,Clases!$T$6:$T$65,0),0)))</f>
        <v>0</v>
      </c>
      <c r="Q12">
        <f>IF($K12="",0,IF(COUNTIF(Clases!$T$6:$T$65,6*100000+$K12)&gt;1,-1,IFERROR(MATCH(6*100000+$K12,Clases!$T$6:$T$65,0),0)))</f>
        <v>0</v>
      </c>
      <c r="R12">
        <f>IF($K12="",0,IF(COUNTIF(Clases!$T$6:$T$65,7*100000+$K12)&gt;1,-1,IFERROR(MATCH(7*100000+$K12,Clases!$T$6:$T$65,0),0)))</f>
        <v>0</v>
      </c>
      <c r="S12">
        <f>IF(L12&gt;0,N(INDEX(Clases!$U$6:$U$65,L12)),IF(L12&lt;0,13,0))</f>
        <v>0</v>
      </c>
      <c r="T12">
        <f>IF(M12&gt;0,N(INDEX(Clases!$U$6:$U$65,M12)),IF(M12&lt;0,13,0))</f>
        <v>6</v>
      </c>
      <c r="U12">
        <f>IF(N12&gt;0,N(INDEX(Clases!$U$6:$U$65,N12)),IF(N12&lt;0,13,0))</f>
        <v>0</v>
      </c>
      <c r="V12">
        <f>IF(O12&gt;0,N(INDEX(Clases!$U$6:$U$65,O12)),IF(O12&lt;0,13,0))</f>
        <v>6</v>
      </c>
      <c r="W12">
        <f>IF(P12&gt;0,N(INDEX(Clases!$U$6:$U$65,P12)),IF(P12&lt;0,13,0))</f>
        <v>0</v>
      </c>
      <c r="X12">
        <f>IF(Q12&gt;0,N(INDEX(Clases!$U$6:$U$65,Q12)),IF(Q12&lt;0,13,0))</f>
        <v>0</v>
      </c>
      <c r="Y12">
        <f>IF(R12&gt;0,N(INDEX(Clases!$U$6:$U$65,R12)),IF(R12&lt;0,13,0))</f>
        <v>0</v>
      </c>
    </row>
    <row r="13" spans="2:25" ht="16" customHeight="1" x14ac:dyDescent="0.2">
      <c r="B13" s="66" t="str">
        <f>IF($K12="","",IFERROR(INDEX(Configuración!$F$6:$F$11,MOD($K12,10)),""))</f>
        <v>Estudio</v>
      </c>
      <c r="C13" s="67" t="str">
        <f>IF(L12&gt;0,INDEX(Clases!$G$6:$G$65,L12)&amp;IF(AND(INDEX(Clases!$G$6:$G$65,L12)&lt;&gt;"",INDEX(Clases!$J$6:$J$65,L12)&lt;&gt;"")," · ","")&amp;IF(INDEX(Clases!$J$6:$J$65,L12)="","",INDEX(Clases!$J$6:$J$65,L12)&amp;" min"),IF(L12&lt;0,"Revisa la hoja «Clases»",""))</f>
        <v/>
      </c>
      <c r="D13" s="67" t="str">
        <f>IF(M12&gt;0,INDEX(Clases!$G$6:$G$65,M12)&amp;IF(AND(INDEX(Clases!$G$6:$G$65,M12)&lt;&gt;"",INDEX(Clases!$J$6:$J$65,M12)&lt;&gt;"")," · ","")&amp;IF(INDEX(Clases!$J$6:$J$65,M12)="","",INDEX(Clases!$J$6:$J$65,M12)&amp;" min"),IF(M12&lt;0,"Revisa la hoja «Clases»",""))</f>
        <v>Lucía · 45 min</v>
      </c>
      <c r="E13" s="67" t="str">
        <f>IF(N12&gt;0,INDEX(Clases!$G$6:$G$65,N12)&amp;IF(AND(INDEX(Clases!$G$6:$G$65,N12)&lt;&gt;"",INDEX(Clases!$J$6:$J$65,N12)&lt;&gt;"")," · ","")&amp;IF(INDEX(Clases!$J$6:$J$65,N12)="","",INDEX(Clases!$J$6:$J$65,N12)&amp;" min"),IF(N12&lt;0,"Revisa la hoja «Clases»",""))</f>
        <v/>
      </c>
      <c r="F13" s="67" t="str">
        <f>IF(O12&gt;0,INDEX(Clases!$G$6:$G$65,O12)&amp;IF(AND(INDEX(Clases!$G$6:$G$65,O12)&lt;&gt;"",INDEX(Clases!$J$6:$J$65,O12)&lt;&gt;"")," · ","")&amp;IF(INDEX(Clases!$J$6:$J$65,O12)="","",INDEX(Clases!$J$6:$J$65,O12)&amp;" min"),IF(O12&lt;0,"Revisa la hoja «Clases»",""))</f>
        <v>Lucía · 45 min</v>
      </c>
      <c r="G13" s="67" t="str">
        <f>IF(P12&gt;0,INDEX(Clases!$G$6:$G$65,P12)&amp;IF(AND(INDEX(Clases!$G$6:$G$65,P12)&lt;&gt;"",INDEX(Clases!$J$6:$J$65,P12)&lt;&gt;"")," · ","")&amp;IF(INDEX(Clases!$J$6:$J$65,P12)="","",INDEX(Clases!$J$6:$J$65,P12)&amp;" min"),IF(P12&lt;0,"Revisa la hoja «Clases»",""))</f>
        <v/>
      </c>
      <c r="H13" s="67" t="str">
        <f>IF(Q12&gt;0,INDEX(Clases!$G$6:$G$65,Q12)&amp;IF(AND(INDEX(Clases!$G$6:$G$65,Q12)&lt;&gt;"",INDEX(Clases!$J$6:$J$65,Q12)&lt;&gt;"")," · ","")&amp;IF(INDEX(Clases!$J$6:$J$65,Q12)="","",INDEX(Clases!$J$6:$J$65,Q12)&amp;" min"),IF(Q12&lt;0,"Revisa la hoja «Clases»",""))</f>
        <v/>
      </c>
      <c r="I13" s="67" t="str">
        <f>IF(R12&gt;0,INDEX(Clases!$G$6:$G$65,R12)&amp;IF(AND(INDEX(Clases!$G$6:$G$65,R12)&lt;&gt;"",INDEX(Clases!$J$6:$J$65,R12)&lt;&gt;"")," · ","")&amp;IF(INDEX(Clases!$J$6:$J$65,R12)="","",INDEX(Clases!$J$6:$J$65,R12)&amp;" min"),IF(R12&lt;0,"Revisa la hoja «Clases»",""))</f>
        <v/>
      </c>
      <c r="S13">
        <f t="shared" ref="S13:Y13" si="3">S12</f>
        <v>0</v>
      </c>
      <c r="T13">
        <f t="shared" si="3"/>
        <v>6</v>
      </c>
      <c r="U13">
        <f t="shared" si="3"/>
        <v>0</v>
      </c>
      <c r="V13">
        <f t="shared" si="3"/>
        <v>6</v>
      </c>
      <c r="W13">
        <f t="shared" si="3"/>
        <v>0</v>
      </c>
      <c r="X13">
        <f t="shared" si="3"/>
        <v>0</v>
      </c>
      <c r="Y13">
        <f t="shared" si="3"/>
        <v>0</v>
      </c>
    </row>
    <row r="14" spans="2:25" ht="20.5" customHeight="1" x14ac:dyDescent="0.2">
      <c r="B14" s="64">
        <f>IF($K14="","",INT($K14/10)/1440)</f>
        <v>0.4375</v>
      </c>
      <c r="C14" s="65" t="str">
        <f>IF(L14&gt;0,INDEX(Clases!$E$6:$E$65,L14),IF(L14&lt;0,"2 clases a la vez",""))</f>
        <v/>
      </c>
      <c r="D14" s="65" t="str">
        <f>IF(M14&gt;0,INDEX(Clases!$E$6:$E$65,M14),IF(M14&lt;0,"2 clases a la vez",""))</f>
        <v/>
      </c>
      <c r="E14" s="65" t="str">
        <f>IF(N14&gt;0,INDEX(Clases!$E$6:$E$65,N14),IF(N14&lt;0,"2 clases a la vez",""))</f>
        <v/>
      </c>
      <c r="F14" s="65" t="str">
        <f>IF(O14&gt;0,INDEX(Clases!$E$6:$E$65,O14),IF(O14&lt;0,"2 clases a la vez",""))</f>
        <v/>
      </c>
      <c r="G14" s="65" t="str">
        <f>IF(P14&gt;0,INDEX(Clases!$E$6:$E$65,P14),IF(P14&lt;0,"2 clases a la vez",""))</f>
        <v/>
      </c>
      <c r="H14" s="65" t="str">
        <f>IF(Q14&gt;0,INDEX(Clases!$E$6:$E$65,Q14),IF(Q14&lt;0,"2 clases a la vez",""))</f>
        <v>Yoga</v>
      </c>
      <c r="I14" s="65" t="str">
        <f>IF(R14&gt;0,INDEX(Clases!$E$6:$E$65,R14),IF(R14&lt;0,"2 clases a la vez",""))</f>
        <v>Movilidad</v>
      </c>
      <c r="K14">
        <f>IF(K12="","",IFERROR(SMALL(Clases!$S$6:$S$65,COUNTIF(Clases!$S$6:$S$65,"&lt;="&amp;K12)+1),""))</f>
        <v>6302</v>
      </c>
      <c r="L14">
        <f>IF($K14="",0,IF(COUNTIF(Clases!$T$6:$T$65,1*100000+$K14)&gt;1,-1,IFERROR(MATCH(1*100000+$K14,Clases!$T$6:$T$65,0),0)))</f>
        <v>0</v>
      </c>
      <c r="M14">
        <f>IF($K14="",0,IF(COUNTIF(Clases!$T$6:$T$65,2*100000+$K14)&gt;1,-1,IFERROR(MATCH(2*100000+$K14,Clases!$T$6:$T$65,0),0)))</f>
        <v>0</v>
      </c>
      <c r="N14">
        <f>IF($K14="",0,IF(COUNTIF(Clases!$T$6:$T$65,3*100000+$K14)&gt;1,-1,IFERROR(MATCH(3*100000+$K14,Clases!$T$6:$T$65,0),0)))</f>
        <v>0</v>
      </c>
      <c r="O14">
        <f>IF($K14="",0,IF(COUNTIF(Clases!$T$6:$T$65,4*100000+$K14)&gt;1,-1,IFERROR(MATCH(4*100000+$K14,Clases!$T$6:$T$65,0),0)))</f>
        <v>0</v>
      </c>
      <c r="P14">
        <f>IF($K14="",0,IF(COUNTIF(Clases!$T$6:$T$65,5*100000+$K14)&gt;1,-1,IFERROR(MATCH(5*100000+$K14,Clases!$T$6:$T$65,0),0)))</f>
        <v>0</v>
      </c>
      <c r="Q14">
        <f>IF($K14="",0,IF(COUNTIF(Clases!$T$6:$T$65,6*100000+$K14)&gt;1,-1,IFERROR(MATCH(6*100000+$K14,Clases!$T$6:$T$65,0),0)))</f>
        <v>36</v>
      </c>
      <c r="R14">
        <f>IF($K14="",0,IF(COUNTIF(Clases!$T$6:$T$65,7*100000+$K14)&gt;1,-1,IFERROR(MATCH(7*100000+$K14,Clases!$T$6:$T$65,0),0)))</f>
        <v>37</v>
      </c>
      <c r="S14">
        <f>IF(L14&gt;0,N(INDEX(Clases!$U$6:$U$65,L14)),IF(L14&lt;0,13,0))</f>
        <v>0</v>
      </c>
      <c r="T14">
        <f>IF(M14&gt;0,N(INDEX(Clases!$U$6:$U$65,M14)),IF(M14&lt;0,13,0))</f>
        <v>0</v>
      </c>
      <c r="U14">
        <f>IF(N14&gt;0,N(INDEX(Clases!$U$6:$U$65,N14)),IF(N14&lt;0,13,0))</f>
        <v>0</v>
      </c>
      <c r="V14">
        <f>IF(O14&gt;0,N(INDEX(Clases!$U$6:$U$65,O14)),IF(O14&lt;0,13,0))</f>
        <v>0</v>
      </c>
      <c r="W14">
        <f>IF(P14&gt;0,N(INDEX(Clases!$U$6:$U$65,P14)),IF(P14&lt;0,13,0))</f>
        <v>0</v>
      </c>
      <c r="X14">
        <f>IF(Q14&gt;0,N(INDEX(Clases!$U$6:$U$65,Q14)),IF(Q14&lt;0,13,0))</f>
        <v>4</v>
      </c>
      <c r="Y14">
        <f>IF(R14&gt;0,N(INDEX(Clases!$U$6:$U$65,R14)),IF(R14&lt;0,13,0))</f>
        <v>6</v>
      </c>
    </row>
    <row r="15" spans="2:25" ht="16" customHeight="1" x14ac:dyDescent="0.2">
      <c r="B15" s="66" t="str">
        <f>IF($K14="","",IFERROR(INDEX(Configuración!$F$6:$F$11,MOD($K14,10)),""))</f>
        <v>Estudio</v>
      </c>
      <c r="C15" s="67" t="str">
        <f>IF(L14&gt;0,INDEX(Clases!$G$6:$G$65,L14)&amp;IF(AND(INDEX(Clases!$G$6:$G$65,L14)&lt;&gt;"",INDEX(Clases!$J$6:$J$65,L14)&lt;&gt;"")," · ","")&amp;IF(INDEX(Clases!$J$6:$J$65,L14)="","",INDEX(Clases!$J$6:$J$65,L14)&amp;" min"),IF(L14&lt;0,"Revisa la hoja «Clases»",""))</f>
        <v/>
      </c>
      <c r="D15" s="67" t="str">
        <f>IF(M14&gt;0,INDEX(Clases!$G$6:$G$65,M14)&amp;IF(AND(INDEX(Clases!$G$6:$G$65,M14)&lt;&gt;"",INDEX(Clases!$J$6:$J$65,M14)&lt;&gt;"")," · ","")&amp;IF(INDEX(Clases!$J$6:$J$65,M14)="","",INDEX(Clases!$J$6:$J$65,M14)&amp;" min"),IF(M14&lt;0,"Revisa la hoja «Clases»",""))</f>
        <v/>
      </c>
      <c r="E15" s="67" t="str">
        <f>IF(N14&gt;0,INDEX(Clases!$G$6:$G$65,N14)&amp;IF(AND(INDEX(Clases!$G$6:$G$65,N14)&lt;&gt;"",INDEX(Clases!$J$6:$J$65,N14)&lt;&gt;"")," · ","")&amp;IF(INDEX(Clases!$J$6:$J$65,N14)="","",INDEX(Clases!$J$6:$J$65,N14)&amp;" min"),IF(N14&lt;0,"Revisa la hoja «Clases»",""))</f>
        <v/>
      </c>
      <c r="F15" s="67" t="str">
        <f>IF(O14&gt;0,INDEX(Clases!$G$6:$G$65,O14)&amp;IF(AND(INDEX(Clases!$G$6:$G$65,O14)&lt;&gt;"",INDEX(Clases!$J$6:$J$65,O14)&lt;&gt;"")," · ","")&amp;IF(INDEX(Clases!$J$6:$J$65,O14)="","",INDEX(Clases!$J$6:$J$65,O14)&amp;" min"),IF(O14&lt;0,"Revisa la hoja «Clases»",""))</f>
        <v/>
      </c>
      <c r="G15" s="67" t="str">
        <f>IF(P14&gt;0,INDEX(Clases!$G$6:$G$65,P14)&amp;IF(AND(INDEX(Clases!$G$6:$G$65,P14)&lt;&gt;"",INDEX(Clases!$J$6:$J$65,P14)&lt;&gt;"")," · ","")&amp;IF(INDEX(Clases!$J$6:$J$65,P14)="","",INDEX(Clases!$J$6:$J$65,P14)&amp;" min"),IF(P14&lt;0,"Revisa la hoja «Clases»",""))</f>
        <v/>
      </c>
      <c r="H15" s="67" t="str">
        <f>IF(Q14&gt;0,INDEX(Clases!$G$6:$G$65,Q14)&amp;IF(AND(INDEX(Clases!$G$6:$G$65,Q14)&lt;&gt;"",INDEX(Clases!$J$6:$J$65,Q14)&lt;&gt;"")," · ","")&amp;IF(INDEX(Clases!$J$6:$J$65,Q14)="","",INDEX(Clases!$J$6:$J$65,Q14)&amp;" min"),IF(Q14&lt;0,"Revisa la hoja «Clases»",""))</f>
        <v>Lucía · 60 min</v>
      </c>
      <c r="I15" s="67" t="str">
        <f>IF(R14&gt;0,INDEX(Clases!$G$6:$G$65,R14)&amp;IF(AND(INDEX(Clases!$G$6:$G$65,R14)&lt;&gt;"",INDEX(Clases!$J$6:$J$65,R14)&lt;&gt;"")," · ","")&amp;IF(INDEX(Clases!$J$6:$J$65,R14)="","",INDEX(Clases!$J$6:$J$65,R14)&amp;" min"),IF(R14&lt;0,"Revisa la hoja «Clases»",""))</f>
        <v>Lucía · 45 min</v>
      </c>
      <c r="S15">
        <f t="shared" ref="S15:Y15" si="4">S14</f>
        <v>0</v>
      </c>
      <c r="T15">
        <f t="shared" si="4"/>
        <v>0</v>
      </c>
      <c r="U15">
        <f t="shared" si="4"/>
        <v>0</v>
      </c>
      <c r="V15">
        <f t="shared" si="4"/>
        <v>0</v>
      </c>
      <c r="W15">
        <f t="shared" si="4"/>
        <v>0</v>
      </c>
      <c r="X15">
        <f t="shared" si="4"/>
        <v>4</v>
      </c>
      <c r="Y15">
        <f t="shared" si="4"/>
        <v>6</v>
      </c>
    </row>
    <row r="16" spans="2:25" ht="20.5" customHeight="1" x14ac:dyDescent="0.2">
      <c r="B16" s="64">
        <f>IF($K16="","",INT($K16/10)/1440)</f>
        <v>0.58333333333333337</v>
      </c>
      <c r="C16" s="65" t="str">
        <f>IF(L16&gt;0,INDEX(Clases!$E$6:$E$65,L16),IF(L16&lt;0,"2 clases a la vez",""))</f>
        <v>HIIT</v>
      </c>
      <c r="D16" s="65" t="str">
        <f>IF(M16&gt;0,INDEX(Clases!$E$6:$E$65,M16),IF(M16&lt;0,"2 clases a la vez",""))</f>
        <v/>
      </c>
      <c r="E16" s="65" t="str">
        <f>IF(N16&gt;0,INDEX(Clases!$E$6:$E$65,N16),IF(N16&lt;0,"2 clases a la vez",""))</f>
        <v>HIIT</v>
      </c>
      <c r="F16" s="65" t="str">
        <f>IF(O16&gt;0,INDEX(Clases!$E$6:$E$65,O16),IF(O16&lt;0,"2 clases a la vez",""))</f>
        <v/>
      </c>
      <c r="G16" s="65" t="str">
        <f>IF(P16&gt;0,INDEX(Clases!$E$6:$E$65,P16),IF(P16&lt;0,"2 clases a la vez",""))</f>
        <v/>
      </c>
      <c r="H16" s="65" t="str">
        <f>IF(Q16&gt;0,INDEX(Clases!$E$6:$E$65,Q16),IF(Q16&lt;0,"2 clases a la vez",""))</f>
        <v/>
      </c>
      <c r="I16" s="65" t="str">
        <f>IF(R16&gt;0,INDEX(Clases!$E$6:$E$65,R16),IF(R16&lt;0,"2 clases a la vez",""))</f>
        <v/>
      </c>
      <c r="K16">
        <f>IF(K14="","",IFERROR(SMALL(Clases!$S$6:$S$65,COUNTIF(Clases!$S$6:$S$65,"&lt;="&amp;K14)+1),""))</f>
        <v>8401</v>
      </c>
      <c r="L16">
        <f>IF($K16="",0,IF(COUNTIF(Clases!$T$6:$T$65,1*100000+$K16)&gt;1,-1,IFERROR(MATCH(1*100000+$K16,Clases!$T$6:$T$65,0),0)))</f>
        <v>3</v>
      </c>
      <c r="M16">
        <f>IF($K16="",0,IF(COUNTIF(Clases!$T$6:$T$65,2*100000+$K16)&gt;1,-1,IFERROR(MATCH(2*100000+$K16,Clases!$T$6:$T$65,0),0)))</f>
        <v>0</v>
      </c>
      <c r="N16">
        <f>IF($K16="",0,IF(COUNTIF(Clases!$T$6:$T$65,3*100000+$K16)&gt;1,-1,IFERROR(MATCH(3*100000+$K16,Clases!$T$6:$T$65,0),0)))</f>
        <v>18</v>
      </c>
      <c r="O16">
        <f>IF($K16="",0,IF(COUNTIF(Clases!$T$6:$T$65,4*100000+$K16)&gt;1,-1,IFERROR(MATCH(4*100000+$K16,Clases!$T$6:$T$65,0),0)))</f>
        <v>0</v>
      </c>
      <c r="P16">
        <f>IF($K16="",0,IF(COUNTIF(Clases!$T$6:$T$65,5*100000+$K16)&gt;1,-1,IFERROR(MATCH(5*100000+$K16,Clases!$T$6:$T$65,0),0)))</f>
        <v>0</v>
      </c>
      <c r="Q16">
        <f>IF($K16="",0,IF(COUNTIF(Clases!$T$6:$T$65,6*100000+$K16)&gt;1,-1,IFERROR(MATCH(6*100000+$K16,Clases!$T$6:$T$65,0),0)))</f>
        <v>0</v>
      </c>
      <c r="R16">
        <f>IF($K16="",0,IF(COUNTIF(Clases!$T$6:$T$65,7*100000+$K16)&gt;1,-1,IFERROR(MATCH(7*100000+$K16,Clases!$T$6:$T$65,0),0)))</f>
        <v>0</v>
      </c>
      <c r="S16">
        <f>IF(L16&gt;0,N(INDEX(Clases!$U$6:$U$65,L16)),IF(L16&lt;0,13,0))</f>
        <v>2</v>
      </c>
      <c r="T16">
        <f>IF(M16&gt;0,N(INDEX(Clases!$U$6:$U$65,M16)),IF(M16&lt;0,13,0))</f>
        <v>0</v>
      </c>
      <c r="U16">
        <f>IF(N16&gt;0,N(INDEX(Clases!$U$6:$U$65,N16)),IF(N16&lt;0,13,0))</f>
        <v>2</v>
      </c>
      <c r="V16">
        <f>IF(O16&gt;0,N(INDEX(Clases!$U$6:$U$65,O16)),IF(O16&lt;0,13,0))</f>
        <v>0</v>
      </c>
      <c r="W16">
        <f>IF(P16&gt;0,N(INDEX(Clases!$U$6:$U$65,P16)),IF(P16&lt;0,13,0))</f>
        <v>0</v>
      </c>
      <c r="X16">
        <f>IF(Q16&gt;0,N(INDEX(Clases!$U$6:$U$65,Q16)),IF(Q16&lt;0,13,0))</f>
        <v>0</v>
      </c>
      <c r="Y16">
        <f>IF(R16&gt;0,N(INDEX(Clases!$U$6:$U$65,R16)),IF(R16&lt;0,13,0))</f>
        <v>0</v>
      </c>
    </row>
    <row r="17" spans="2:25" ht="16" customHeight="1" x14ac:dyDescent="0.2">
      <c r="B17" s="66" t="str">
        <f>IF($K16="","",IFERROR(INDEX(Configuración!$F$6:$F$11,MOD($K16,10)),""))</f>
        <v>Box</v>
      </c>
      <c r="C17" s="67" t="str">
        <f>IF(L16&gt;0,INDEX(Clases!$G$6:$G$65,L16)&amp;IF(AND(INDEX(Clases!$G$6:$G$65,L16)&lt;&gt;"",INDEX(Clases!$J$6:$J$65,L16)&lt;&gt;"")," · ","")&amp;IF(INDEX(Clases!$J$6:$J$65,L16)="","",INDEX(Clases!$J$6:$J$65,L16)&amp;" min"),IF(L16&lt;0,"Revisa la hoja «Clases»",""))</f>
        <v>Dani · 45 min</v>
      </c>
      <c r="D17" s="67" t="str">
        <f>IF(M16&gt;0,INDEX(Clases!$G$6:$G$65,M16)&amp;IF(AND(INDEX(Clases!$G$6:$G$65,M16)&lt;&gt;"",INDEX(Clases!$J$6:$J$65,M16)&lt;&gt;"")," · ","")&amp;IF(INDEX(Clases!$J$6:$J$65,M16)="","",INDEX(Clases!$J$6:$J$65,M16)&amp;" min"),IF(M16&lt;0,"Revisa la hoja «Clases»",""))</f>
        <v/>
      </c>
      <c r="E17" s="67" t="str">
        <f>IF(N16&gt;0,INDEX(Clases!$G$6:$G$65,N16)&amp;IF(AND(INDEX(Clases!$G$6:$G$65,N16)&lt;&gt;"",INDEX(Clases!$J$6:$J$65,N16)&lt;&gt;"")," · ","")&amp;IF(INDEX(Clases!$J$6:$J$65,N16)="","",INDEX(Clases!$J$6:$J$65,N16)&amp;" min"),IF(N16&lt;0,"Revisa la hoja «Clases»",""))</f>
        <v>Dani · 45 min</v>
      </c>
      <c r="F17" s="67" t="str">
        <f>IF(O16&gt;0,INDEX(Clases!$G$6:$G$65,O16)&amp;IF(AND(INDEX(Clases!$G$6:$G$65,O16)&lt;&gt;"",INDEX(Clases!$J$6:$J$65,O16)&lt;&gt;"")," · ","")&amp;IF(INDEX(Clases!$J$6:$J$65,O16)="","",INDEX(Clases!$J$6:$J$65,O16)&amp;" min"),IF(O16&lt;0,"Revisa la hoja «Clases»",""))</f>
        <v/>
      </c>
      <c r="G17" s="67" t="str">
        <f>IF(P16&gt;0,INDEX(Clases!$G$6:$G$65,P16)&amp;IF(AND(INDEX(Clases!$G$6:$G$65,P16)&lt;&gt;"",INDEX(Clases!$J$6:$J$65,P16)&lt;&gt;"")," · ","")&amp;IF(INDEX(Clases!$J$6:$J$65,P16)="","",INDEX(Clases!$J$6:$J$65,P16)&amp;" min"),IF(P16&lt;0,"Revisa la hoja «Clases»",""))</f>
        <v/>
      </c>
      <c r="H17" s="67" t="str">
        <f>IF(Q16&gt;0,INDEX(Clases!$G$6:$G$65,Q16)&amp;IF(AND(INDEX(Clases!$G$6:$G$65,Q16)&lt;&gt;"",INDEX(Clases!$J$6:$J$65,Q16)&lt;&gt;"")," · ","")&amp;IF(INDEX(Clases!$J$6:$J$65,Q16)="","",INDEX(Clases!$J$6:$J$65,Q16)&amp;" min"),IF(Q16&lt;0,"Revisa la hoja «Clases»",""))</f>
        <v/>
      </c>
      <c r="I17" s="67" t="str">
        <f>IF(R16&gt;0,INDEX(Clases!$G$6:$G$65,R16)&amp;IF(AND(INDEX(Clases!$G$6:$G$65,R16)&lt;&gt;"",INDEX(Clases!$J$6:$J$65,R16)&lt;&gt;"")," · ","")&amp;IF(INDEX(Clases!$J$6:$J$65,R16)="","",INDEX(Clases!$J$6:$J$65,R16)&amp;" min"),IF(R16&lt;0,"Revisa la hoja «Clases»",""))</f>
        <v/>
      </c>
      <c r="S17">
        <f t="shared" ref="S17:Y17" si="5">S16</f>
        <v>2</v>
      </c>
      <c r="T17">
        <f t="shared" si="5"/>
        <v>0</v>
      </c>
      <c r="U17">
        <f t="shared" si="5"/>
        <v>2</v>
      </c>
      <c r="V17">
        <f t="shared" si="5"/>
        <v>0</v>
      </c>
      <c r="W17">
        <f t="shared" si="5"/>
        <v>0</v>
      </c>
      <c r="X17">
        <f t="shared" si="5"/>
        <v>0</v>
      </c>
      <c r="Y17">
        <f t="shared" si="5"/>
        <v>0</v>
      </c>
    </row>
    <row r="18" spans="2:25" ht="20.5" customHeight="1" x14ac:dyDescent="0.2">
      <c r="B18" s="64">
        <f>IF($K18="","",INT($K18/10)/1440)</f>
        <v>0.59375</v>
      </c>
      <c r="C18" s="65" t="str">
        <f>IF(L18&gt;0,INDEX(Clases!$E$6:$E$65,L18),IF(L18&lt;0,"2 clases a la vez",""))</f>
        <v/>
      </c>
      <c r="D18" s="65" t="str">
        <f>IF(M18&gt;0,INDEX(Clases!$E$6:$E$65,M18),IF(M18&lt;0,"2 clases a la vez",""))</f>
        <v>Core exprés</v>
      </c>
      <c r="E18" s="65" t="str">
        <f>IF(N18&gt;0,INDEX(Clases!$E$6:$E$65,N18),IF(N18&lt;0,"2 clases a la vez",""))</f>
        <v/>
      </c>
      <c r="F18" s="65" t="str">
        <f>IF(O18&gt;0,INDEX(Clases!$E$6:$E$65,O18),IF(O18&lt;0,"2 clases a la vez",""))</f>
        <v>Core exprés</v>
      </c>
      <c r="G18" s="65" t="str">
        <f>IF(P18&gt;0,INDEX(Clases!$E$6:$E$65,P18),IF(P18&lt;0,"2 clases a la vez",""))</f>
        <v/>
      </c>
      <c r="H18" s="65" t="str">
        <f>IF(Q18&gt;0,INDEX(Clases!$E$6:$E$65,Q18),IF(Q18&lt;0,"2 clases a la vez",""))</f>
        <v/>
      </c>
      <c r="I18" s="65" t="str">
        <f>IF(R18&gt;0,INDEX(Clases!$E$6:$E$65,R18),IF(R18&lt;0,"2 clases a la vez",""))</f>
        <v/>
      </c>
      <c r="K18">
        <f>IF(K16="","",IFERROR(SMALL(Clases!$S$6:$S$65,COUNTIF(Clases!$S$6:$S$65,"&lt;="&amp;K16)+1),""))</f>
        <v>8552</v>
      </c>
      <c r="L18">
        <f>IF($K18="",0,IF(COUNTIF(Clases!$T$6:$T$65,1*100000+$K18)&gt;1,-1,IFERROR(MATCH(1*100000+$K18,Clases!$T$6:$T$65,0),0)))</f>
        <v>0</v>
      </c>
      <c r="M18">
        <f>IF($K18="",0,IF(COUNTIF(Clases!$T$6:$T$65,2*100000+$K18)&gt;1,-1,IFERROR(MATCH(2*100000+$K18,Clases!$T$6:$T$65,0),0)))</f>
        <v>11</v>
      </c>
      <c r="N18">
        <f>IF($K18="",0,IF(COUNTIF(Clases!$T$6:$T$65,3*100000+$K18)&gt;1,-1,IFERROR(MATCH(3*100000+$K18,Clases!$T$6:$T$65,0),0)))</f>
        <v>0</v>
      </c>
      <c r="O18">
        <f>IF($K18="",0,IF(COUNTIF(Clases!$T$6:$T$65,4*100000+$K18)&gt;1,-1,IFERROR(MATCH(4*100000+$K18,Clases!$T$6:$T$65,0),0)))</f>
        <v>26</v>
      </c>
      <c r="P18">
        <f>IF($K18="",0,IF(COUNTIF(Clases!$T$6:$T$65,5*100000+$K18)&gt;1,-1,IFERROR(MATCH(5*100000+$K18,Clases!$T$6:$T$65,0),0)))</f>
        <v>0</v>
      </c>
      <c r="Q18">
        <f>IF($K18="",0,IF(COUNTIF(Clases!$T$6:$T$65,6*100000+$K18)&gt;1,-1,IFERROR(MATCH(6*100000+$K18,Clases!$T$6:$T$65,0),0)))</f>
        <v>0</v>
      </c>
      <c r="R18">
        <f>IF($K18="",0,IF(COUNTIF(Clases!$T$6:$T$65,7*100000+$K18)&gt;1,-1,IFERROR(MATCH(7*100000+$K18,Clases!$T$6:$T$65,0),0)))</f>
        <v>0</v>
      </c>
      <c r="S18">
        <f>IF(L18&gt;0,N(INDEX(Clases!$U$6:$U$65,L18)),IF(L18&lt;0,13,0))</f>
        <v>0</v>
      </c>
      <c r="T18">
        <f>IF(M18&gt;0,N(INDEX(Clases!$U$6:$U$65,M18)),IF(M18&lt;0,13,0))</f>
        <v>9</v>
      </c>
      <c r="U18">
        <f>IF(N18&gt;0,N(INDEX(Clases!$U$6:$U$65,N18)),IF(N18&lt;0,13,0))</f>
        <v>0</v>
      </c>
      <c r="V18">
        <f>IF(O18&gt;0,N(INDEX(Clases!$U$6:$U$65,O18)),IF(O18&lt;0,13,0))</f>
        <v>9</v>
      </c>
      <c r="W18">
        <f>IF(P18&gt;0,N(INDEX(Clases!$U$6:$U$65,P18)),IF(P18&lt;0,13,0))</f>
        <v>0</v>
      </c>
      <c r="X18">
        <f>IF(Q18&gt;0,N(INDEX(Clases!$U$6:$U$65,Q18)),IF(Q18&lt;0,13,0))</f>
        <v>0</v>
      </c>
      <c r="Y18">
        <f>IF(R18&gt;0,N(INDEX(Clases!$U$6:$U$65,R18)),IF(R18&lt;0,13,0))</f>
        <v>0</v>
      </c>
    </row>
    <row r="19" spans="2:25" ht="16" customHeight="1" x14ac:dyDescent="0.2">
      <c r="B19" s="66" t="str">
        <f>IF($K18="","",IFERROR(INDEX(Configuración!$F$6:$F$11,MOD($K18,10)),""))</f>
        <v>Estudio</v>
      </c>
      <c r="C19" s="67" t="str">
        <f>IF(L18&gt;0,INDEX(Clases!$G$6:$G$65,L18)&amp;IF(AND(INDEX(Clases!$G$6:$G$65,L18)&lt;&gt;"",INDEX(Clases!$J$6:$J$65,L18)&lt;&gt;"")," · ","")&amp;IF(INDEX(Clases!$J$6:$J$65,L18)="","",INDEX(Clases!$J$6:$J$65,L18)&amp;" min"),IF(L18&lt;0,"Revisa la hoja «Clases»",""))</f>
        <v/>
      </c>
      <c r="D19" s="67" t="str">
        <f>IF(M18&gt;0,INDEX(Clases!$G$6:$G$65,M18)&amp;IF(AND(INDEX(Clases!$G$6:$G$65,M18)&lt;&gt;"",INDEX(Clases!$J$6:$J$65,M18)&lt;&gt;"")," · ","")&amp;IF(INDEX(Clases!$J$6:$J$65,M18)="","",INDEX(Clases!$J$6:$J$65,M18)&amp;" min"),IF(M18&lt;0,"Revisa la hoja «Clases»",""))</f>
        <v>Dani · 30 min</v>
      </c>
      <c r="E19" s="67" t="str">
        <f>IF(N18&gt;0,INDEX(Clases!$G$6:$G$65,N18)&amp;IF(AND(INDEX(Clases!$G$6:$G$65,N18)&lt;&gt;"",INDEX(Clases!$J$6:$J$65,N18)&lt;&gt;"")," · ","")&amp;IF(INDEX(Clases!$J$6:$J$65,N18)="","",INDEX(Clases!$J$6:$J$65,N18)&amp;" min"),IF(N18&lt;0,"Revisa la hoja «Clases»",""))</f>
        <v/>
      </c>
      <c r="F19" s="67" t="str">
        <f>IF(O18&gt;0,INDEX(Clases!$G$6:$G$65,O18)&amp;IF(AND(INDEX(Clases!$G$6:$G$65,O18)&lt;&gt;"",INDEX(Clases!$J$6:$J$65,O18)&lt;&gt;"")," · ","")&amp;IF(INDEX(Clases!$J$6:$J$65,O18)="","",INDEX(Clases!$J$6:$J$65,O18)&amp;" min"),IF(O18&lt;0,"Revisa la hoja «Clases»",""))</f>
        <v>Dani · 30 min</v>
      </c>
      <c r="G19" s="67" t="str">
        <f>IF(P18&gt;0,INDEX(Clases!$G$6:$G$65,P18)&amp;IF(AND(INDEX(Clases!$G$6:$G$65,P18)&lt;&gt;"",INDEX(Clases!$J$6:$J$65,P18)&lt;&gt;"")," · ","")&amp;IF(INDEX(Clases!$J$6:$J$65,P18)="","",INDEX(Clases!$J$6:$J$65,P18)&amp;" min"),IF(P18&lt;0,"Revisa la hoja «Clases»",""))</f>
        <v/>
      </c>
      <c r="H19" s="67" t="str">
        <f>IF(Q18&gt;0,INDEX(Clases!$G$6:$G$65,Q18)&amp;IF(AND(INDEX(Clases!$G$6:$G$65,Q18)&lt;&gt;"",INDEX(Clases!$J$6:$J$65,Q18)&lt;&gt;"")," · ","")&amp;IF(INDEX(Clases!$J$6:$J$65,Q18)="","",INDEX(Clases!$J$6:$J$65,Q18)&amp;" min"),IF(Q18&lt;0,"Revisa la hoja «Clases»",""))</f>
        <v/>
      </c>
      <c r="I19" s="67" t="str">
        <f>IF(R18&gt;0,INDEX(Clases!$G$6:$G$65,R18)&amp;IF(AND(INDEX(Clases!$G$6:$G$65,R18)&lt;&gt;"",INDEX(Clases!$J$6:$J$65,R18)&lt;&gt;"")," · ","")&amp;IF(INDEX(Clases!$J$6:$J$65,R18)="","",INDEX(Clases!$J$6:$J$65,R18)&amp;" min"),IF(R18&lt;0,"Revisa la hoja «Clases»",""))</f>
        <v/>
      </c>
      <c r="S19">
        <f t="shared" ref="S19:Y19" si="6">S18</f>
        <v>0</v>
      </c>
      <c r="T19">
        <f t="shared" si="6"/>
        <v>9</v>
      </c>
      <c r="U19">
        <f t="shared" si="6"/>
        <v>0</v>
      </c>
      <c r="V19">
        <f t="shared" si="6"/>
        <v>9</v>
      </c>
      <c r="W19">
        <f t="shared" si="6"/>
        <v>0</v>
      </c>
      <c r="X19">
        <f t="shared" si="6"/>
        <v>0</v>
      </c>
      <c r="Y19">
        <f t="shared" si="6"/>
        <v>0</v>
      </c>
    </row>
    <row r="20" spans="2:25" ht="20.5" customHeight="1" x14ac:dyDescent="0.2">
      <c r="B20" s="64">
        <f>IF($K20="","",INT($K20/10)/1440)</f>
        <v>0.75</v>
      </c>
      <c r="C20" s="65" t="str">
        <f>IF(L20&gt;0,INDEX(Clases!$E$6:$E$65,L20),IF(L20&lt;0,"2 clases a la vez",""))</f>
        <v>Pilates</v>
      </c>
      <c r="D20" s="65" t="str">
        <f>IF(M20&gt;0,INDEX(Clases!$E$6:$E$65,M20),IF(M20&lt;0,"2 clases a la vez",""))</f>
        <v/>
      </c>
      <c r="E20" s="65" t="str">
        <f>IF(N20&gt;0,INDEX(Clases!$E$6:$E$65,N20),IF(N20&lt;0,"2 clases a la vez",""))</f>
        <v>Pilates</v>
      </c>
      <c r="F20" s="65" t="str">
        <f>IF(O20&gt;0,INDEX(Clases!$E$6:$E$65,O20),IF(O20&lt;0,"2 clases a la vez",""))</f>
        <v/>
      </c>
      <c r="G20" s="65" t="str">
        <f>IF(P20&gt;0,INDEX(Clases!$E$6:$E$65,P20),IF(P20&lt;0,"2 clases a la vez",""))</f>
        <v/>
      </c>
      <c r="H20" s="65" t="str">
        <f>IF(Q20&gt;0,INDEX(Clases!$E$6:$E$65,Q20),IF(Q20&lt;0,"2 clases a la vez",""))</f>
        <v/>
      </c>
      <c r="I20" s="65" t="str">
        <f>IF(R20&gt;0,INDEX(Clases!$E$6:$E$65,R20),IF(R20&lt;0,"2 clases a la vez",""))</f>
        <v/>
      </c>
      <c r="K20">
        <f>IF(K18="","",IFERROR(SMALL(Clases!$S$6:$S$65,COUNTIF(Clases!$S$6:$S$65,"&lt;="&amp;K18)+1),""))</f>
        <v>10802</v>
      </c>
      <c r="L20">
        <f>IF($K20="",0,IF(COUNTIF(Clases!$T$6:$T$65,1*100000+$K20)&gt;1,-1,IFERROR(MATCH(1*100000+$K20,Clases!$T$6:$T$65,0),0)))</f>
        <v>4</v>
      </c>
      <c r="M20">
        <f>IF($K20="",0,IF(COUNTIF(Clases!$T$6:$T$65,2*100000+$K20)&gt;1,-1,IFERROR(MATCH(2*100000+$K20,Clases!$T$6:$T$65,0),0)))</f>
        <v>0</v>
      </c>
      <c r="N20">
        <f>IF($K20="",0,IF(COUNTIF(Clases!$T$6:$T$65,3*100000+$K20)&gt;1,-1,IFERROR(MATCH(3*100000+$K20,Clases!$T$6:$T$65,0),0)))</f>
        <v>19</v>
      </c>
      <c r="O20">
        <f>IF($K20="",0,IF(COUNTIF(Clases!$T$6:$T$65,4*100000+$K20)&gt;1,-1,IFERROR(MATCH(4*100000+$K20,Clases!$T$6:$T$65,0),0)))</f>
        <v>0</v>
      </c>
      <c r="P20">
        <f>IF($K20="",0,IF(COUNTIF(Clases!$T$6:$T$65,5*100000+$K20)&gt;1,-1,IFERROR(MATCH(5*100000+$K20,Clases!$T$6:$T$65,0),0)))</f>
        <v>0</v>
      </c>
      <c r="Q20">
        <f>IF($K20="",0,IF(COUNTIF(Clases!$T$6:$T$65,6*100000+$K20)&gt;1,-1,IFERROR(MATCH(6*100000+$K20,Clases!$T$6:$T$65,0),0)))</f>
        <v>0</v>
      </c>
      <c r="R20">
        <f>IF($K20="",0,IF(COUNTIF(Clases!$T$6:$T$65,7*100000+$K20)&gt;1,-1,IFERROR(MATCH(7*100000+$K20,Clases!$T$6:$T$65,0),0)))</f>
        <v>0</v>
      </c>
      <c r="S20">
        <f>IF(L20&gt;0,N(INDEX(Clases!$U$6:$U$65,L20)),IF(L20&lt;0,13,0))</f>
        <v>3</v>
      </c>
      <c r="T20">
        <f>IF(M20&gt;0,N(INDEX(Clases!$U$6:$U$65,M20)),IF(M20&lt;0,13,0))</f>
        <v>0</v>
      </c>
      <c r="U20">
        <f>IF(N20&gt;0,N(INDEX(Clases!$U$6:$U$65,N20)),IF(N20&lt;0,13,0))</f>
        <v>3</v>
      </c>
      <c r="V20">
        <f>IF(O20&gt;0,N(INDEX(Clases!$U$6:$U$65,O20)),IF(O20&lt;0,13,0))</f>
        <v>0</v>
      </c>
      <c r="W20">
        <f>IF(P20&gt;0,N(INDEX(Clases!$U$6:$U$65,P20)),IF(P20&lt;0,13,0))</f>
        <v>0</v>
      </c>
      <c r="X20">
        <f>IF(Q20&gt;0,N(INDEX(Clases!$U$6:$U$65,Q20)),IF(Q20&lt;0,13,0))</f>
        <v>0</v>
      </c>
      <c r="Y20">
        <f>IF(R20&gt;0,N(INDEX(Clases!$U$6:$U$65,R20)),IF(R20&lt;0,13,0))</f>
        <v>0</v>
      </c>
    </row>
    <row r="21" spans="2:25" ht="16" customHeight="1" x14ac:dyDescent="0.2">
      <c r="B21" s="66" t="str">
        <f>IF($K20="","",IFERROR(INDEX(Configuración!$F$6:$F$11,MOD($K20,10)),""))</f>
        <v>Estudio</v>
      </c>
      <c r="C21" s="67" t="str">
        <f>IF(L20&gt;0,INDEX(Clases!$G$6:$G$65,L20)&amp;IF(AND(INDEX(Clases!$G$6:$G$65,L20)&lt;&gt;"",INDEX(Clases!$J$6:$J$65,L20)&lt;&gt;"")," · ","")&amp;IF(INDEX(Clases!$J$6:$J$65,L20)="","",INDEX(Clases!$J$6:$J$65,L20)&amp;" min"),IF(L20&lt;0,"Revisa la hoja «Clases»",""))</f>
        <v>Sara · 55 min</v>
      </c>
      <c r="D21" s="67" t="str">
        <f>IF(M20&gt;0,INDEX(Clases!$G$6:$G$65,M20)&amp;IF(AND(INDEX(Clases!$G$6:$G$65,M20)&lt;&gt;"",INDEX(Clases!$J$6:$J$65,M20)&lt;&gt;"")," · ","")&amp;IF(INDEX(Clases!$J$6:$J$65,M20)="","",INDEX(Clases!$J$6:$J$65,M20)&amp;" min"),IF(M20&lt;0,"Revisa la hoja «Clases»",""))</f>
        <v/>
      </c>
      <c r="E21" s="67" t="str">
        <f>IF(N20&gt;0,INDEX(Clases!$G$6:$G$65,N20)&amp;IF(AND(INDEX(Clases!$G$6:$G$65,N20)&lt;&gt;"",INDEX(Clases!$J$6:$J$65,N20)&lt;&gt;"")," · ","")&amp;IF(INDEX(Clases!$J$6:$J$65,N20)="","",INDEX(Clases!$J$6:$J$65,N20)&amp;" min"),IF(N20&lt;0,"Revisa la hoja «Clases»",""))</f>
        <v>Sara · 55 min</v>
      </c>
      <c r="F21" s="67" t="str">
        <f>IF(O20&gt;0,INDEX(Clases!$G$6:$G$65,O20)&amp;IF(AND(INDEX(Clases!$G$6:$G$65,O20)&lt;&gt;"",INDEX(Clases!$J$6:$J$65,O20)&lt;&gt;"")," · ","")&amp;IF(INDEX(Clases!$J$6:$J$65,O20)="","",INDEX(Clases!$J$6:$J$65,O20)&amp;" min"),IF(O20&lt;0,"Revisa la hoja «Clases»",""))</f>
        <v/>
      </c>
      <c r="G21" s="67" t="str">
        <f>IF(P20&gt;0,INDEX(Clases!$G$6:$G$65,P20)&amp;IF(AND(INDEX(Clases!$G$6:$G$65,P20)&lt;&gt;"",INDEX(Clases!$J$6:$J$65,P20)&lt;&gt;"")," · ","")&amp;IF(INDEX(Clases!$J$6:$J$65,P20)="","",INDEX(Clases!$J$6:$J$65,P20)&amp;" min"),IF(P20&lt;0,"Revisa la hoja «Clases»",""))</f>
        <v/>
      </c>
      <c r="H21" s="67" t="str">
        <f>IF(Q20&gt;0,INDEX(Clases!$G$6:$G$65,Q20)&amp;IF(AND(INDEX(Clases!$G$6:$G$65,Q20)&lt;&gt;"",INDEX(Clases!$J$6:$J$65,Q20)&lt;&gt;"")," · ","")&amp;IF(INDEX(Clases!$J$6:$J$65,Q20)="","",INDEX(Clases!$J$6:$J$65,Q20)&amp;" min"),IF(Q20&lt;0,"Revisa la hoja «Clases»",""))</f>
        <v/>
      </c>
      <c r="I21" s="67" t="str">
        <f>IF(R20&gt;0,INDEX(Clases!$G$6:$G$65,R20)&amp;IF(AND(INDEX(Clases!$G$6:$G$65,R20)&lt;&gt;"",INDEX(Clases!$J$6:$J$65,R20)&lt;&gt;"")," · ","")&amp;IF(INDEX(Clases!$J$6:$J$65,R20)="","",INDEX(Clases!$J$6:$J$65,R20)&amp;" min"),IF(R20&lt;0,"Revisa la hoja «Clases»",""))</f>
        <v/>
      </c>
      <c r="S21">
        <f t="shared" ref="S21:Y21" si="7">S20</f>
        <v>3</v>
      </c>
      <c r="T21">
        <f t="shared" si="7"/>
        <v>0</v>
      </c>
      <c r="U21">
        <f t="shared" si="7"/>
        <v>3</v>
      </c>
      <c r="V21">
        <f t="shared" si="7"/>
        <v>0</v>
      </c>
      <c r="W21">
        <f t="shared" si="7"/>
        <v>0</v>
      </c>
      <c r="X21">
        <f t="shared" si="7"/>
        <v>0</v>
      </c>
      <c r="Y21">
        <f t="shared" si="7"/>
        <v>0</v>
      </c>
    </row>
    <row r="22" spans="2:25" ht="20.5" customHeight="1" x14ac:dyDescent="0.2">
      <c r="B22" s="64">
        <f>IF($K22="","",INT($K22/10)/1440)</f>
        <v>0.79166666666666663</v>
      </c>
      <c r="C22" s="65" t="str">
        <f>IF(L22&gt;0,INDEX(Clases!$E$6:$E$65,L22),IF(L22&lt;0,"2 clases a la vez",""))</f>
        <v>Cross training</v>
      </c>
      <c r="D22" s="65" t="str">
        <f>IF(M22&gt;0,INDEX(Clases!$E$6:$E$65,M22),IF(M22&lt;0,"2 clases a la vez",""))</f>
        <v>Cross training</v>
      </c>
      <c r="E22" s="65" t="str">
        <f>IF(N22&gt;0,INDEX(Clases!$E$6:$E$65,N22),IF(N22&lt;0,"2 clases a la vez",""))</f>
        <v>Cross training</v>
      </c>
      <c r="F22" s="65" t="str">
        <f>IF(O22&gt;0,INDEX(Clases!$E$6:$E$65,O22),IF(O22&lt;0,"2 clases a la vez",""))</f>
        <v>Cross training</v>
      </c>
      <c r="G22" s="65" t="str">
        <f>IF(P22&gt;0,INDEX(Clases!$E$6:$E$65,P22),IF(P22&lt;0,"2 clases a la vez",""))</f>
        <v>Cross training</v>
      </c>
      <c r="H22" s="65" t="str">
        <f>IF(Q22&gt;0,INDEX(Clases!$E$6:$E$65,Q22),IF(Q22&lt;0,"2 clases a la vez",""))</f>
        <v/>
      </c>
      <c r="I22" s="65" t="str">
        <f>IF(R22&gt;0,INDEX(Clases!$E$6:$E$65,R22),IF(R22&lt;0,"2 clases a la vez",""))</f>
        <v/>
      </c>
      <c r="K22">
        <f>IF(K20="","",IFERROR(SMALL(Clases!$S$6:$S$65,COUNTIF(Clases!$S$6:$S$65,"&lt;="&amp;K20)+1),""))</f>
        <v>11401</v>
      </c>
      <c r="L22">
        <f>IF($K22="",0,IF(COUNTIF(Clases!$T$6:$T$65,1*100000+$K22)&gt;1,-1,IFERROR(MATCH(1*100000+$K22,Clases!$T$6:$T$65,0),0)))</f>
        <v>5</v>
      </c>
      <c r="M22">
        <f>IF($K22="",0,IF(COUNTIF(Clases!$T$6:$T$65,2*100000+$K22)&gt;1,-1,IFERROR(MATCH(2*100000+$K22,Clases!$T$6:$T$65,0),0)))</f>
        <v>12</v>
      </c>
      <c r="N22">
        <f>IF($K22="",0,IF(COUNTIF(Clases!$T$6:$T$65,3*100000+$K22)&gt;1,-1,IFERROR(MATCH(3*100000+$K22,Clases!$T$6:$T$65,0),0)))</f>
        <v>20</v>
      </c>
      <c r="O22">
        <f>IF($K22="",0,IF(COUNTIF(Clases!$T$6:$T$65,4*100000+$K22)&gt;1,-1,IFERROR(MATCH(4*100000+$K22,Clases!$T$6:$T$65,0),0)))</f>
        <v>27</v>
      </c>
      <c r="P22">
        <f>IF($K22="",0,IF(COUNTIF(Clases!$T$6:$T$65,5*100000+$K22)&gt;1,-1,IFERROR(MATCH(5*100000+$K22,Clases!$T$6:$T$65,0),0)))</f>
        <v>33</v>
      </c>
      <c r="Q22">
        <f>IF($K22="",0,IF(COUNTIF(Clases!$T$6:$T$65,6*100000+$K22)&gt;1,-1,IFERROR(MATCH(6*100000+$K22,Clases!$T$6:$T$65,0),0)))</f>
        <v>0</v>
      </c>
      <c r="R22">
        <f>IF($K22="",0,IF(COUNTIF(Clases!$T$6:$T$65,7*100000+$K22)&gt;1,-1,IFERROR(MATCH(7*100000+$K22,Clases!$T$6:$T$65,0),0)))</f>
        <v>0</v>
      </c>
      <c r="S22">
        <f>IF(L22&gt;0,N(INDEX(Clases!$U$6:$U$65,L22)),IF(L22&lt;0,13,0))</f>
        <v>1</v>
      </c>
      <c r="T22">
        <f>IF(M22&gt;0,N(INDEX(Clases!$U$6:$U$65,M22)),IF(M22&lt;0,13,0))</f>
        <v>1</v>
      </c>
      <c r="U22">
        <f>IF(N22&gt;0,N(INDEX(Clases!$U$6:$U$65,N22)),IF(N22&lt;0,13,0))</f>
        <v>1</v>
      </c>
      <c r="V22">
        <f>IF(O22&gt;0,N(INDEX(Clases!$U$6:$U$65,O22)),IF(O22&lt;0,13,0))</f>
        <v>1</v>
      </c>
      <c r="W22">
        <f>IF(P22&gt;0,N(INDEX(Clases!$U$6:$U$65,P22)),IF(P22&lt;0,13,0))</f>
        <v>1</v>
      </c>
      <c r="X22">
        <f>IF(Q22&gt;0,N(INDEX(Clases!$U$6:$U$65,Q22)),IF(Q22&lt;0,13,0))</f>
        <v>0</v>
      </c>
      <c r="Y22">
        <f>IF(R22&gt;0,N(INDEX(Clases!$U$6:$U$65,R22)),IF(R22&lt;0,13,0))</f>
        <v>0</v>
      </c>
    </row>
    <row r="23" spans="2:25" ht="16" customHeight="1" x14ac:dyDescent="0.2">
      <c r="B23" s="66" t="str">
        <f>IF($K22="","",IFERROR(INDEX(Configuración!$F$6:$F$11,MOD($K22,10)),""))</f>
        <v>Box</v>
      </c>
      <c r="C23" s="67" t="str">
        <f>IF(L22&gt;0,INDEX(Clases!$G$6:$G$65,L22)&amp;IF(AND(INDEX(Clases!$G$6:$G$65,L22)&lt;&gt;"",INDEX(Clases!$J$6:$J$65,L22)&lt;&gt;"")," · ","")&amp;IF(INDEX(Clases!$J$6:$J$65,L22)="","",INDEX(Clases!$J$6:$J$65,L22)&amp;" min"),IF(L22&lt;0,"Revisa la hoja «Clases»",""))</f>
        <v>Javi · 60 min</v>
      </c>
      <c r="D23" s="67" t="str">
        <f>IF(M22&gt;0,INDEX(Clases!$G$6:$G$65,M22)&amp;IF(AND(INDEX(Clases!$G$6:$G$65,M22)&lt;&gt;"",INDEX(Clases!$J$6:$J$65,M22)&lt;&gt;"")," · ","")&amp;IF(INDEX(Clases!$J$6:$J$65,M22)="","",INDEX(Clases!$J$6:$J$65,M22)&amp;" min"),IF(M22&lt;0,"Revisa la hoja «Clases»",""))</f>
        <v>Marta · 60 min</v>
      </c>
      <c r="E23" s="67" t="str">
        <f>IF(N22&gt;0,INDEX(Clases!$G$6:$G$65,N22)&amp;IF(AND(INDEX(Clases!$G$6:$G$65,N22)&lt;&gt;"",INDEX(Clases!$J$6:$J$65,N22)&lt;&gt;"")," · ","")&amp;IF(INDEX(Clases!$J$6:$J$65,N22)="","",INDEX(Clases!$J$6:$J$65,N22)&amp;" min"),IF(N22&lt;0,"Revisa la hoja «Clases»",""))</f>
        <v>Javi · 60 min</v>
      </c>
      <c r="F23" s="67" t="str">
        <f>IF(O22&gt;0,INDEX(Clases!$G$6:$G$65,O22)&amp;IF(AND(INDEX(Clases!$G$6:$G$65,O22)&lt;&gt;"",INDEX(Clases!$J$6:$J$65,O22)&lt;&gt;"")," · ","")&amp;IF(INDEX(Clases!$J$6:$J$65,O22)="","",INDEX(Clases!$J$6:$J$65,O22)&amp;" min"),IF(O22&lt;0,"Revisa la hoja «Clases»",""))</f>
        <v>Marta · 60 min</v>
      </c>
      <c r="G23" s="67" t="str">
        <f>IF(P22&gt;0,INDEX(Clases!$G$6:$G$65,P22)&amp;IF(AND(INDEX(Clases!$G$6:$G$65,P22)&lt;&gt;"",INDEX(Clases!$J$6:$J$65,P22)&lt;&gt;"")," · ","")&amp;IF(INDEX(Clases!$J$6:$J$65,P22)="","",INDEX(Clases!$J$6:$J$65,P22)&amp;" min"),IF(P22&lt;0,"Revisa la hoja «Clases»",""))</f>
        <v>Javi · 60 min</v>
      </c>
      <c r="H23" s="67" t="str">
        <f>IF(Q22&gt;0,INDEX(Clases!$G$6:$G$65,Q22)&amp;IF(AND(INDEX(Clases!$G$6:$G$65,Q22)&lt;&gt;"",INDEX(Clases!$J$6:$J$65,Q22)&lt;&gt;"")," · ","")&amp;IF(INDEX(Clases!$J$6:$J$65,Q22)="","",INDEX(Clases!$J$6:$J$65,Q22)&amp;" min"),IF(Q22&lt;0,"Revisa la hoja «Clases»",""))</f>
        <v/>
      </c>
      <c r="I23" s="67" t="str">
        <f>IF(R22&gt;0,INDEX(Clases!$G$6:$G$65,R22)&amp;IF(AND(INDEX(Clases!$G$6:$G$65,R22)&lt;&gt;"",INDEX(Clases!$J$6:$J$65,R22)&lt;&gt;"")," · ","")&amp;IF(INDEX(Clases!$J$6:$J$65,R22)="","",INDEX(Clases!$J$6:$J$65,R22)&amp;" min"),IF(R22&lt;0,"Revisa la hoja «Clases»",""))</f>
        <v/>
      </c>
      <c r="S23">
        <f t="shared" ref="S23:Y23" si="8">S22</f>
        <v>1</v>
      </c>
      <c r="T23">
        <f t="shared" si="8"/>
        <v>1</v>
      </c>
      <c r="U23">
        <f t="shared" si="8"/>
        <v>1</v>
      </c>
      <c r="V23">
        <f t="shared" si="8"/>
        <v>1</v>
      </c>
      <c r="W23">
        <f t="shared" si="8"/>
        <v>1</v>
      </c>
      <c r="X23">
        <f t="shared" si="8"/>
        <v>0</v>
      </c>
      <c r="Y23">
        <f t="shared" si="8"/>
        <v>0</v>
      </c>
    </row>
    <row r="24" spans="2:25" ht="20.5" customHeight="1" x14ac:dyDescent="0.2">
      <c r="B24" s="64">
        <f>IF($K24="","",INT($K24/10)/1440)</f>
        <v>0.79166666666666663</v>
      </c>
      <c r="C24" s="65" t="str">
        <f>IF(L24&gt;0,INDEX(Clases!$E$6:$E$65,L24),IF(L24&lt;0,"2 clases a la vez",""))</f>
        <v>Ciclo indoor</v>
      </c>
      <c r="D24" s="65" t="str">
        <f>IF(M24&gt;0,INDEX(Clases!$E$6:$E$65,M24),IF(M24&lt;0,"2 clases a la vez",""))</f>
        <v>Pilates</v>
      </c>
      <c r="E24" s="65" t="str">
        <f>IF(N24&gt;0,INDEX(Clases!$E$6:$E$65,N24),IF(N24&lt;0,"2 clases a la vez",""))</f>
        <v>Ciclo indoor</v>
      </c>
      <c r="F24" s="65" t="str">
        <f>IF(O24&gt;0,INDEX(Clases!$E$6:$E$65,O24),IF(O24&lt;0,"2 clases a la vez",""))</f>
        <v>Pilates</v>
      </c>
      <c r="G24" s="65" t="str">
        <f>IF(P24&gt;0,INDEX(Clases!$E$6:$E$65,P24),IF(P24&lt;0,"2 clases a la vez",""))</f>
        <v>Ciclo indoor</v>
      </c>
      <c r="H24" s="65" t="str">
        <f>IF(Q24&gt;0,INDEX(Clases!$E$6:$E$65,Q24),IF(Q24&lt;0,"2 clases a la vez",""))</f>
        <v/>
      </c>
      <c r="I24" s="65" t="str">
        <f>IF(R24&gt;0,INDEX(Clases!$E$6:$E$65,R24),IF(R24&lt;0,"2 clases a la vez",""))</f>
        <v/>
      </c>
      <c r="K24">
        <f>IF(K22="","",IFERROR(SMALL(Clases!$S$6:$S$65,COUNTIF(Clases!$S$6:$S$65,"&lt;="&amp;K22)+1),""))</f>
        <v>11402</v>
      </c>
      <c r="L24">
        <f>IF($K24="",0,IF(COUNTIF(Clases!$T$6:$T$65,1*100000+$K24)&gt;1,-1,IFERROR(MATCH(1*100000+$K24,Clases!$T$6:$T$65,0),0)))</f>
        <v>6</v>
      </c>
      <c r="M24">
        <f>IF($K24="",0,IF(COUNTIF(Clases!$T$6:$T$65,2*100000+$K24)&gt;1,-1,IFERROR(MATCH(2*100000+$K24,Clases!$T$6:$T$65,0),0)))</f>
        <v>13</v>
      </c>
      <c r="N24">
        <f>IF($K24="",0,IF(COUNTIF(Clases!$T$6:$T$65,3*100000+$K24)&gt;1,-1,IFERROR(MATCH(3*100000+$K24,Clases!$T$6:$T$65,0),0)))</f>
        <v>21</v>
      </c>
      <c r="O24">
        <f>IF($K24="",0,IF(COUNTIF(Clases!$T$6:$T$65,4*100000+$K24)&gt;1,-1,IFERROR(MATCH(4*100000+$K24,Clases!$T$6:$T$65,0),0)))</f>
        <v>28</v>
      </c>
      <c r="P24">
        <f>IF($K24="",0,IF(COUNTIF(Clases!$T$6:$T$65,5*100000+$K24)&gt;1,-1,IFERROR(MATCH(5*100000+$K24,Clases!$T$6:$T$65,0),0)))</f>
        <v>34</v>
      </c>
      <c r="Q24">
        <f>IF($K24="",0,IF(COUNTIF(Clases!$T$6:$T$65,6*100000+$K24)&gt;1,-1,IFERROR(MATCH(6*100000+$K24,Clases!$T$6:$T$65,0),0)))</f>
        <v>0</v>
      </c>
      <c r="R24">
        <f>IF($K24="",0,IF(COUNTIF(Clases!$T$6:$T$65,7*100000+$K24)&gt;1,-1,IFERROR(MATCH(7*100000+$K24,Clases!$T$6:$T$65,0),0)))</f>
        <v>0</v>
      </c>
      <c r="S24">
        <f>IF(L24&gt;0,N(INDEX(Clases!$U$6:$U$65,L24)),IF(L24&lt;0,13,0))</f>
        <v>5</v>
      </c>
      <c r="T24">
        <f>IF(M24&gt;0,N(INDEX(Clases!$U$6:$U$65,M24)),IF(M24&lt;0,13,0))</f>
        <v>3</v>
      </c>
      <c r="U24">
        <f>IF(N24&gt;0,N(INDEX(Clases!$U$6:$U$65,N24)),IF(N24&lt;0,13,0))</f>
        <v>5</v>
      </c>
      <c r="V24">
        <f>IF(O24&gt;0,N(INDEX(Clases!$U$6:$U$65,O24)),IF(O24&lt;0,13,0))</f>
        <v>3</v>
      </c>
      <c r="W24">
        <f>IF(P24&gt;0,N(INDEX(Clases!$U$6:$U$65,P24)),IF(P24&lt;0,13,0))</f>
        <v>5</v>
      </c>
      <c r="X24">
        <f>IF(Q24&gt;0,N(INDEX(Clases!$U$6:$U$65,Q24)),IF(Q24&lt;0,13,0))</f>
        <v>0</v>
      </c>
      <c r="Y24">
        <f>IF(R24&gt;0,N(INDEX(Clases!$U$6:$U$65,R24)),IF(R24&lt;0,13,0))</f>
        <v>0</v>
      </c>
    </row>
    <row r="25" spans="2:25" ht="16" customHeight="1" x14ac:dyDescent="0.2">
      <c r="B25" s="66" t="str">
        <f>IF($K24="","",IFERROR(INDEX(Configuración!$F$6:$F$11,MOD($K24,10)),""))</f>
        <v>Estudio</v>
      </c>
      <c r="C25" s="67" t="str">
        <f>IF(L24&gt;0,INDEX(Clases!$G$6:$G$65,L24)&amp;IF(AND(INDEX(Clases!$G$6:$G$65,L24)&lt;&gt;"",INDEX(Clases!$J$6:$J$65,L24)&lt;&gt;"")," · ","")&amp;IF(INDEX(Clases!$J$6:$J$65,L24)="","",INDEX(Clases!$J$6:$J$65,L24)&amp;" min"),IF(L24&lt;0,"Revisa la hoja «Clases»",""))</f>
        <v>Dani · 45 min</v>
      </c>
      <c r="D25" s="67" t="str">
        <f>IF(M24&gt;0,INDEX(Clases!$G$6:$G$65,M24)&amp;IF(AND(INDEX(Clases!$G$6:$G$65,M24)&lt;&gt;"",INDEX(Clases!$J$6:$J$65,M24)&lt;&gt;"")," · ","")&amp;IF(INDEX(Clases!$J$6:$J$65,M24)="","",INDEX(Clases!$J$6:$J$65,M24)&amp;" min"),IF(M24&lt;0,"Revisa la hoja «Clases»",""))</f>
        <v>Sara · 55 min</v>
      </c>
      <c r="E25" s="67" t="str">
        <f>IF(N24&gt;0,INDEX(Clases!$G$6:$G$65,N24)&amp;IF(AND(INDEX(Clases!$G$6:$G$65,N24)&lt;&gt;"",INDEX(Clases!$J$6:$J$65,N24)&lt;&gt;"")," · ","")&amp;IF(INDEX(Clases!$J$6:$J$65,N24)="","",INDEX(Clases!$J$6:$J$65,N24)&amp;" min"),IF(N24&lt;0,"Revisa la hoja «Clases»",""))</f>
        <v>Dani · 45 min</v>
      </c>
      <c r="F25" s="67" t="str">
        <f>IF(O24&gt;0,INDEX(Clases!$G$6:$G$65,O24)&amp;IF(AND(INDEX(Clases!$G$6:$G$65,O24)&lt;&gt;"",INDEX(Clases!$J$6:$J$65,O24)&lt;&gt;"")," · ","")&amp;IF(INDEX(Clases!$J$6:$J$65,O24)="","",INDEX(Clases!$J$6:$J$65,O24)&amp;" min"),IF(O24&lt;0,"Revisa la hoja «Clases»",""))</f>
        <v>Sara · 55 min</v>
      </c>
      <c r="G25" s="67" t="str">
        <f>IF(P24&gt;0,INDEX(Clases!$G$6:$G$65,P24)&amp;IF(AND(INDEX(Clases!$G$6:$G$65,P24)&lt;&gt;"",INDEX(Clases!$J$6:$J$65,P24)&lt;&gt;"")," · ","")&amp;IF(INDEX(Clases!$J$6:$J$65,P24)="","",INDEX(Clases!$J$6:$J$65,P24)&amp;" min"),IF(P24&lt;0,"Revisa la hoja «Clases»",""))</f>
        <v>Dani · 45 min</v>
      </c>
      <c r="H25" s="67" t="str">
        <f>IF(Q24&gt;0,INDEX(Clases!$G$6:$G$65,Q24)&amp;IF(AND(INDEX(Clases!$G$6:$G$65,Q24)&lt;&gt;"",INDEX(Clases!$J$6:$J$65,Q24)&lt;&gt;"")," · ","")&amp;IF(INDEX(Clases!$J$6:$J$65,Q24)="","",INDEX(Clases!$J$6:$J$65,Q24)&amp;" min"),IF(Q24&lt;0,"Revisa la hoja «Clases»",""))</f>
        <v/>
      </c>
      <c r="I25" s="67" t="str">
        <f>IF(R24&gt;0,INDEX(Clases!$G$6:$G$65,R24)&amp;IF(AND(INDEX(Clases!$G$6:$G$65,R24)&lt;&gt;"",INDEX(Clases!$J$6:$J$65,R24)&lt;&gt;"")," · ","")&amp;IF(INDEX(Clases!$J$6:$J$65,R24)="","",INDEX(Clases!$J$6:$J$65,R24)&amp;" min"),IF(R24&lt;0,"Revisa la hoja «Clases»",""))</f>
        <v/>
      </c>
      <c r="S25">
        <f t="shared" ref="S25:Y25" si="9">S24</f>
        <v>5</v>
      </c>
      <c r="T25">
        <f t="shared" si="9"/>
        <v>3</v>
      </c>
      <c r="U25">
        <f t="shared" si="9"/>
        <v>5</v>
      </c>
      <c r="V25">
        <f t="shared" si="9"/>
        <v>3</v>
      </c>
      <c r="W25">
        <f t="shared" si="9"/>
        <v>5</v>
      </c>
      <c r="X25">
        <f t="shared" si="9"/>
        <v>0</v>
      </c>
      <c r="Y25">
        <f t="shared" si="9"/>
        <v>0</v>
      </c>
    </row>
    <row r="26" spans="2:25" ht="20.5" customHeight="1" x14ac:dyDescent="0.2">
      <c r="B26" s="64">
        <f>IF($K26="","",INT($K26/10)/1440)</f>
        <v>0.83333333333333337</v>
      </c>
      <c r="C26" s="65" t="str">
        <f>IF(L26&gt;0,INDEX(Clases!$E$6:$E$65,L26),IF(L26&lt;0,"2 clases a la vez",""))</f>
        <v>Halterofilia</v>
      </c>
      <c r="D26" s="65" t="str">
        <f>IF(M26&gt;0,INDEX(Clases!$E$6:$E$65,M26),IF(M26&lt;0,"2 clases a la vez",""))</f>
        <v/>
      </c>
      <c r="E26" s="65" t="str">
        <f>IF(N26&gt;0,INDEX(Clases!$E$6:$E$65,N26),IF(N26&lt;0,"2 clases a la vez",""))</f>
        <v>Halterofilia</v>
      </c>
      <c r="F26" s="65" t="str">
        <f>IF(O26&gt;0,INDEX(Clases!$E$6:$E$65,O26),IF(O26&lt;0,"2 clases a la vez",""))</f>
        <v/>
      </c>
      <c r="G26" s="65" t="str">
        <f>IF(P26&gt;0,INDEX(Clases!$E$6:$E$65,P26),IF(P26&lt;0,"2 clases a la vez",""))</f>
        <v/>
      </c>
      <c r="H26" s="65" t="str">
        <f>IF(Q26&gt;0,INDEX(Clases!$E$6:$E$65,Q26),IF(Q26&lt;0,"2 clases a la vez",""))</f>
        <v/>
      </c>
      <c r="I26" s="65" t="str">
        <f>IF(R26&gt;0,INDEX(Clases!$E$6:$E$65,R26),IF(R26&lt;0,"2 clases a la vez",""))</f>
        <v/>
      </c>
      <c r="K26">
        <f>IF(K24="","",IFERROR(SMALL(Clases!$S$6:$S$65,COUNTIF(Clases!$S$6:$S$65,"&lt;="&amp;K24)+1),""))</f>
        <v>12001</v>
      </c>
      <c r="L26">
        <f>IF($K26="",0,IF(COUNTIF(Clases!$T$6:$T$65,1*100000+$K26)&gt;1,-1,IFERROR(MATCH(1*100000+$K26,Clases!$T$6:$T$65,0),0)))</f>
        <v>7</v>
      </c>
      <c r="M26">
        <f>IF($K26="",0,IF(COUNTIF(Clases!$T$6:$T$65,2*100000+$K26)&gt;1,-1,IFERROR(MATCH(2*100000+$K26,Clases!$T$6:$T$65,0),0)))</f>
        <v>0</v>
      </c>
      <c r="N26">
        <f>IF($K26="",0,IF(COUNTIF(Clases!$T$6:$T$65,3*100000+$K26)&gt;1,-1,IFERROR(MATCH(3*100000+$K26,Clases!$T$6:$T$65,0),0)))</f>
        <v>22</v>
      </c>
      <c r="O26">
        <f>IF($K26="",0,IF(COUNTIF(Clases!$T$6:$T$65,4*100000+$K26)&gt;1,-1,IFERROR(MATCH(4*100000+$K26,Clases!$T$6:$T$65,0),0)))</f>
        <v>0</v>
      </c>
      <c r="P26">
        <f>IF($K26="",0,IF(COUNTIF(Clases!$T$6:$T$65,5*100000+$K26)&gt;1,-1,IFERROR(MATCH(5*100000+$K26,Clases!$T$6:$T$65,0),0)))</f>
        <v>0</v>
      </c>
      <c r="Q26">
        <f>IF($K26="",0,IF(COUNTIF(Clases!$T$6:$T$65,6*100000+$K26)&gt;1,-1,IFERROR(MATCH(6*100000+$K26,Clases!$T$6:$T$65,0),0)))</f>
        <v>0</v>
      </c>
      <c r="R26">
        <f>IF($K26="",0,IF(COUNTIF(Clases!$T$6:$T$65,7*100000+$K26)&gt;1,-1,IFERROR(MATCH(7*100000+$K26,Clases!$T$6:$T$65,0),0)))</f>
        <v>0</v>
      </c>
      <c r="S26">
        <f>IF(L26&gt;0,N(INDEX(Clases!$U$6:$U$65,L26)),IF(L26&lt;0,13,0))</f>
        <v>8</v>
      </c>
      <c r="T26">
        <f>IF(M26&gt;0,N(INDEX(Clases!$U$6:$U$65,M26)),IF(M26&lt;0,13,0))</f>
        <v>0</v>
      </c>
      <c r="U26">
        <f>IF(N26&gt;0,N(INDEX(Clases!$U$6:$U$65,N26)),IF(N26&lt;0,13,0))</f>
        <v>8</v>
      </c>
      <c r="V26">
        <f>IF(O26&gt;0,N(INDEX(Clases!$U$6:$U$65,O26)),IF(O26&lt;0,13,0))</f>
        <v>0</v>
      </c>
      <c r="W26">
        <f>IF(P26&gt;0,N(INDEX(Clases!$U$6:$U$65,P26)),IF(P26&lt;0,13,0))</f>
        <v>0</v>
      </c>
      <c r="X26">
        <f>IF(Q26&gt;0,N(INDEX(Clases!$U$6:$U$65,Q26)),IF(Q26&lt;0,13,0))</f>
        <v>0</v>
      </c>
      <c r="Y26">
        <f>IF(R26&gt;0,N(INDEX(Clases!$U$6:$U$65,R26)),IF(R26&lt;0,13,0))</f>
        <v>0</v>
      </c>
    </row>
    <row r="27" spans="2:25" ht="16" customHeight="1" x14ac:dyDescent="0.2">
      <c r="B27" s="66" t="str">
        <f>IF($K26="","",IFERROR(INDEX(Configuración!$F$6:$F$11,MOD($K26,10)),""))</f>
        <v>Box</v>
      </c>
      <c r="C27" s="67" t="str">
        <f>IF(L26&gt;0,INDEX(Clases!$G$6:$G$65,L26)&amp;IF(AND(INDEX(Clases!$G$6:$G$65,L26)&lt;&gt;"",INDEX(Clases!$J$6:$J$65,L26)&lt;&gt;"")," · ","")&amp;IF(INDEX(Clases!$J$6:$J$65,L26)="","",INDEX(Clases!$J$6:$J$65,L26)&amp;" min"),IF(L26&lt;0,"Revisa la hoja «Clases»",""))</f>
        <v>Javi · 60 min</v>
      </c>
      <c r="D27" s="67" t="str">
        <f>IF(M26&gt;0,INDEX(Clases!$G$6:$G$65,M26)&amp;IF(AND(INDEX(Clases!$G$6:$G$65,M26)&lt;&gt;"",INDEX(Clases!$J$6:$J$65,M26)&lt;&gt;"")," · ","")&amp;IF(INDEX(Clases!$J$6:$J$65,M26)="","",INDEX(Clases!$J$6:$J$65,M26)&amp;" min"),IF(M26&lt;0,"Revisa la hoja «Clases»",""))</f>
        <v/>
      </c>
      <c r="E27" s="67" t="str">
        <f>IF(N26&gt;0,INDEX(Clases!$G$6:$G$65,N26)&amp;IF(AND(INDEX(Clases!$G$6:$G$65,N26)&lt;&gt;"",INDEX(Clases!$J$6:$J$65,N26)&lt;&gt;"")," · ","")&amp;IF(INDEX(Clases!$J$6:$J$65,N26)="","",INDEX(Clases!$J$6:$J$65,N26)&amp;" min"),IF(N26&lt;0,"Revisa la hoja «Clases»",""))</f>
        <v>Javi · 60 min</v>
      </c>
      <c r="F27" s="67" t="str">
        <f>IF(O26&gt;0,INDEX(Clases!$G$6:$G$65,O26)&amp;IF(AND(INDEX(Clases!$G$6:$G$65,O26)&lt;&gt;"",INDEX(Clases!$J$6:$J$65,O26)&lt;&gt;"")," · ","")&amp;IF(INDEX(Clases!$J$6:$J$65,O26)="","",INDEX(Clases!$J$6:$J$65,O26)&amp;" min"),IF(O26&lt;0,"Revisa la hoja «Clases»",""))</f>
        <v/>
      </c>
      <c r="G27" s="67" t="str">
        <f>IF(P26&gt;0,INDEX(Clases!$G$6:$G$65,P26)&amp;IF(AND(INDEX(Clases!$G$6:$G$65,P26)&lt;&gt;"",INDEX(Clases!$J$6:$J$65,P26)&lt;&gt;"")," · ","")&amp;IF(INDEX(Clases!$J$6:$J$65,P26)="","",INDEX(Clases!$J$6:$J$65,P26)&amp;" min"),IF(P26&lt;0,"Revisa la hoja «Clases»",""))</f>
        <v/>
      </c>
      <c r="H27" s="67" t="str">
        <f>IF(Q26&gt;0,INDEX(Clases!$G$6:$G$65,Q26)&amp;IF(AND(INDEX(Clases!$G$6:$G$65,Q26)&lt;&gt;"",INDEX(Clases!$J$6:$J$65,Q26)&lt;&gt;"")," · ","")&amp;IF(INDEX(Clases!$J$6:$J$65,Q26)="","",INDEX(Clases!$J$6:$J$65,Q26)&amp;" min"),IF(Q26&lt;0,"Revisa la hoja «Clases»",""))</f>
        <v/>
      </c>
      <c r="I27" s="67" t="str">
        <f>IF(R26&gt;0,INDEX(Clases!$G$6:$G$65,R26)&amp;IF(AND(INDEX(Clases!$G$6:$G$65,R26)&lt;&gt;"",INDEX(Clases!$J$6:$J$65,R26)&lt;&gt;"")," · ","")&amp;IF(INDEX(Clases!$J$6:$J$65,R26)="","",INDEX(Clases!$J$6:$J$65,R26)&amp;" min"),IF(R26&lt;0,"Revisa la hoja «Clases»",""))</f>
        <v/>
      </c>
      <c r="S27">
        <f t="shared" ref="S27:Y27" si="10">S26</f>
        <v>8</v>
      </c>
      <c r="T27">
        <f t="shared" si="10"/>
        <v>0</v>
      </c>
      <c r="U27">
        <f t="shared" si="10"/>
        <v>8</v>
      </c>
      <c r="V27">
        <f t="shared" si="10"/>
        <v>0</v>
      </c>
      <c r="W27">
        <f t="shared" si="10"/>
        <v>0</v>
      </c>
      <c r="X27">
        <f t="shared" si="10"/>
        <v>0</v>
      </c>
      <c r="Y27">
        <f t="shared" si="10"/>
        <v>0</v>
      </c>
    </row>
    <row r="28" spans="2:25" ht="20.5" customHeight="1" x14ac:dyDescent="0.2">
      <c r="B28" s="64">
        <f>IF($K28="","",INT($K28/10)/1440)</f>
        <v>0.83333333333333337</v>
      </c>
      <c r="C28" s="65" t="str">
        <f>IF(L28&gt;0,INDEX(Clases!$E$6:$E$65,L28),IF(L28&lt;0,"2 clases a la vez",""))</f>
        <v/>
      </c>
      <c r="D28" s="65" t="str">
        <f>IF(M28&gt;0,INDEX(Clases!$E$6:$E$65,M28),IF(M28&lt;0,"2 clases a la vez",""))</f>
        <v>Yoga</v>
      </c>
      <c r="E28" s="65" t="str">
        <f>IF(N28&gt;0,INDEX(Clases!$E$6:$E$65,N28),IF(N28&lt;0,"2 clases a la vez",""))</f>
        <v/>
      </c>
      <c r="F28" s="65" t="str">
        <f>IF(O28&gt;0,INDEX(Clases!$E$6:$E$65,O28),IF(O28&lt;0,"2 clases a la vez",""))</f>
        <v>Yoga</v>
      </c>
      <c r="G28" s="65" t="str">
        <f>IF(P28&gt;0,INDEX(Clases!$E$6:$E$65,P28),IF(P28&lt;0,"2 clases a la vez",""))</f>
        <v/>
      </c>
      <c r="H28" s="65" t="str">
        <f>IF(Q28&gt;0,INDEX(Clases!$E$6:$E$65,Q28),IF(Q28&lt;0,"2 clases a la vez",""))</f>
        <v/>
      </c>
      <c r="I28" s="65" t="str">
        <f>IF(R28&gt;0,INDEX(Clases!$E$6:$E$65,R28),IF(R28&lt;0,"2 clases a la vez",""))</f>
        <v/>
      </c>
      <c r="K28">
        <f>IF(K26="","",IFERROR(SMALL(Clases!$S$6:$S$65,COUNTIF(Clases!$S$6:$S$65,"&lt;="&amp;K26)+1),""))</f>
        <v>12002</v>
      </c>
      <c r="L28">
        <f>IF($K28="",0,IF(COUNTIF(Clases!$T$6:$T$65,1*100000+$K28)&gt;1,-1,IFERROR(MATCH(1*100000+$K28,Clases!$T$6:$T$65,0),0)))</f>
        <v>0</v>
      </c>
      <c r="M28">
        <f>IF($K28="",0,IF(COUNTIF(Clases!$T$6:$T$65,2*100000+$K28)&gt;1,-1,IFERROR(MATCH(2*100000+$K28,Clases!$T$6:$T$65,0),0)))</f>
        <v>14</v>
      </c>
      <c r="N28">
        <f>IF($K28="",0,IF(COUNTIF(Clases!$T$6:$T$65,3*100000+$K28)&gt;1,-1,IFERROR(MATCH(3*100000+$K28,Clases!$T$6:$T$65,0),0)))</f>
        <v>0</v>
      </c>
      <c r="O28">
        <f>IF($K28="",0,IF(COUNTIF(Clases!$T$6:$T$65,4*100000+$K28)&gt;1,-1,IFERROR(MATCH(4*100000+$K28,Clases!$T$6:$T$65,0),0)))</f>
        <v>29</v>
      </c>
      <c r="P28">
        <f>IF($K28="",0,IF(COUNTIF(Clases!$T$6:$T$65,5*100000+$K28)&gt;1,-1,IFERROR(MATCH(5*100000+$K28,Clases!$T$6:$T$65,0),0)))</f>
        <v>0</v>
      </c>
      <c r="Q28">
        <f>IF($K28="",0,IF(COUNTIF(Clases!$T$6:$T$65,6*100000+$K28)&gt;1,-1,IFERROR(MATCH(6*100000+$K28,Clases!$T$6:$T$65,0),0)))</f>
        <v>0</v>
      </c>
      <c r="R28">
        <f>IF($K28="",0,IF(COUNTIF(Clases!$T$6:$T$65,7*100000+$K28)&gt;1,-1,IFERROR(MATCH(7*100000+$K28,Clases!$T$6:$T$65,0),0)))</f>
        <v>0</v>
      </c>
      <c r="S28">
        <f>IF(L28&gt;0,N(INDEX(Clases!$U$6:$U$65,L28)),IF(L28&lt;0,13,0))</f>
        <v>0</v>
      </c>
      <c r="T28">
        <f>IF(M28&gt;0,N(INDEX(Clases!$U$6:$U$65,M28)),IF(M28&lt;0,13,0))</f>
        <v>4</v>
      </c>
      <c r="U28">
        <f>IF(N28&gt;0,N(INDEX(Clases!$U$6:$U$65,N28)),IF(N28&lt;0,13,0))</f>
        <v>0</v>
      </c>
      <c r="V28">
        <f>IF(O28&gt;0,N(INDEX(Clases!$U$6:$U$65,O28)),IF(O28&lt;0,13,0))</f>
        <v>4</v>
      </c>
      <c r="W28">
        <f>IF(P28&gt;0,N(INDEX(Clases!$U$6:$U$65,P28)),IF(P28&lt;0,13,0))</f>
        <v>0</v>
      </c>
      <c r="X28">
        <f>IF(Q28&gt;0,N(INDEX(Clases!$U$6:$U$65,Q28)),IF(Q28&lt;0,13,0))</f>
        <v>0</v>
      </c>
      <c r="Y28">
        <f>IF(R28&gt;0,N(INDEX(Clases!$U$6:$U$65,R28)),IF(R28&lt;0,13,0))</f>
        <v>0</v>
      </c>
    </row>
    <row r="29" spans="2:25" ht="16" customHeight="1" x14ac:dyDescent="0.2">
      <c r="B29" s="66" t="str">
        <f>IF($K28="","",IFERROR(INDEX(Configuración!$F$6:$F$11,MOD($K28,10)),""))</f>
        <v>Estudio</v>
      </c>
      <c r="C29" s="67" t="str">
        <f>IF(L28&gt;0,INDEX(Clases!$G$6:$G$65,L28)&amp;IF(AND(INDEX(Clases!$G$6:$G$65,L28)&lt;&gt;"",INDEX(Clases!$J$6:$J$65,L28)&lt;&gt;"")," · ","")&amp;IF(INDEX(Clases!$J$6:$J$65,L28)="","",INDEX(Clases!$J$6:$J$65,L28)&amp;" min"),IF(L28&lt;0,"Revisa la hoja «Clases»",""))</f>
        <v/>
      </c>
      <c r="D29" s="67" t="str">
        <f>IF(M28&gt;0,INDEX(Clases!$G$6:$G$65,M28)&amp;IF(AND(INDEX(Clases!$G$6:$G$65,M28)&lt;&gt;"",INDEX(Clases!$J$6:$J$65,M28)&lt;&gt;"")," · ","")&amp;IF(INDEX(Clases!$J$6:$J$65,M28)="","",INDEX(Clases!$J$6:$J$65,M28)&amp;" min"),IF(M28&lt;0,"Revisa la hoja «Clases»",""))</f>
        <v>Lucía · 60 min</v>
      </c>
      <c r="E29" s="67" t="str">
        <f>IF(N28&gt;0,INDEX(Clases!$G$6:$G$65,N28)&amp;IF(AND(INDEX(Clases!$G$6:$G$65,N28)&lt;&gt;"",INDEX(Clases!$J$6:$J$65,N28)&lt;&gt;"")," · ","")&amp;IF(INDEX(Clases!$J$6:$J$65,N28)="","",INDEX(Clases!$J$6:$J$65,N28)&amp;" min"),IF(N28&lt;0,"Revisa la hoja «Clases»",""))</f>
        <v/>
      </c>
      <c r="F29" s="67" t="str">
        <f>IF(O28&gt;0,INDEX(Clases!$G$6:$G$65,O28)&amp;IF(AND(INDEX(Clases!$G$6:$G$65,O28)&lt;&gt;"",INDEX(Clases!$J$6:$J$65,O28)&lt;&gt;"")," · ","")&amp;IF(INDEX(Clases!$J$6:$J$65,O28)="","",INDEX(Clases!$J$6:$J$65,O28)&amp;" min"),IF(O28&lt;0,"Revisa la hoja «Clases»",""))</f>
        <v>Lucía · 60 min</v>
      </c>
      <c r="G29" s="67" t="str">
        <f>IF(P28&gt;0,INDEX(Clases!$G$6:$G$65,P28)&amp;IF(AND(INDEX(Clases!$G$6:$G$65,P28)&lt;&gt;"",INDEX(Clases!$J$6:$J$65,P28)&lt;&gt;"")," · ","")&amp;IF(INDEX(Clases!$J$6:$J$65,P28)="","",INDEX(Clases!$J$6:$J$65,P28)&amp;" min"),IF(P28&lt;0,"Revisa la hoja «Clases»",""))</f>
        <v/>
      </c>
      <c r="H29" s="67" t="str">
        <f>IF(Q28&gt;0,INDEX(Clases!$G$6:$G$65,Q28)&amp;IF(AND(INDEX(Clases!$G$6:$G$65,Q28)&lt;&gt;"",INDEX(Clases!$J$6:$J$65,Q28)&lt;&gt;"")," · ","")&amp;IF(INDEX(Clases!$J$6:$J$65,Q28)="","",INDEX(Clases!$J$6:$J$65,Q28)&amp;" min"),IF(Q28&lt;0,"Revisa la hoja «Clases»",""))</f>
        <v/>
      </c>
      <c r="I29" s="67" t="str">
        <f>IF(R28&gt;0,INDEX(Clases!$G$6:$G$65,R28)&amp;IF(AND(INDEX(Clases!$G$6:$G$65,R28)&lt;&gt;"",INDEX(Clases!$J$6:$J$65,R28)&lt;&gt;"")," · ","")&amp;IF(INDEX(Clases!$J$6:$J$65,R28)="","",INDEX(Clases!$J$6:$J$65,R28)&amp;" min"),IF(R28&lt;0,"Revisa la hoja «Clases»",""))</f>
        <v/>
      </c>
      <c r="S29">
        <f t="shared" ref="S29:Y29" si="11">S28</f>
        <v>0</v>
      </c>
      <c r="T29">
        <f t="shared" si="11"/>
        <v>4</v>
      </c>
      <c r="U29">
        <f t="shared" si="11"/>
        <v>0</v>
      </c>
      <c r="V29">
        <f t="shared" si="11"/>
        <v>4</v>
      </c>
      <c r="W29">
        <f t="shared" si="11"/>
        <v>0</v>
      </c>
      <c r="X29">
        <f t="shared" si="11"/>
        <v>0</v>
      </c>
      <c r="Y29">
        <f t="shared" si="11"/>
        <v>0</v>
      </c>
    </row>
    <row r="30" spans="2:25" ht="20.5" customHeight="1" x14ac:dyDescent="0.2">
      <c r="B30" s="64">
        <f>IF($K30="","",INT($K30/10)/1440)</f>
        <v>0.875</v>
      </c>
      <c r="C30" s="65" t="str">
        <f>IF(L30&gt;0,INDEX(Clases!$E$6:$E$65,L30),IF(L30&lt;0,"2 clases a la vez",""))</f>
        <v/>
      </c>
      <c r="D30" s="65" t="str">
        <f>IF(M30&gt;0,INDEX(Clases!$E$6:$E$65,M30),IF(M30&lt;0,"2 clases a la vez",""))</f>
        <v>Cross training</v>
      </c>
      <c r="E30" s="65" t="str">
        <f>IF(N30&gt;0,INDEX(Clases!$E$6:$E$65,N30),IF(N30&lt;0,"2 clases a la vez",""))</f>
        <v/>
      </c>
      <c r="F30" s="65" t="str">
        <f>IF(O30&gt;0,INDEX(Clases!$E$6:$E$65,O30),IF(O30&lt;0,"2 clases a la vez",""))</f>
        <v>Cross training</v>
      </c>
      <c r="G30" s="65" t="str">
        <f>IF(P30&gt;0,INDEX(Clases!$E$6:$E$65,P30),IF(P30&lt;0,"2 clases a la vez",""))</f>
        <v/>
      </c>
      <c r="H30" s="65" t="str">
        <f>IF(Q30&gt;0,INDEX(Clases!$E$6:$E$65,Q30),IF(Q30&lt;0,"2 clases a la vez",""))</f>
        <v/>
      </c>
      <c r="I30" s="65" t="str">
        <f>IF(R30&gt;0,INDEX(Clases!$E$6:$E$65,R30),IF(R30&lt;0,"2 clases a la vez",""))</f>
        <v/>
      </c>
      <c r="K30">
        <f>IF(K28="","",IFERROR(SMALL(Clases!$S$6:$S$65,COUNTIF(Clases!$S$6:$S$65,"&lt;="&amp;K28)+1),""))</f>
        <v>12601</v>
      </c>
      <c r="L30">
        <f>IF($K30="",0,IF(COUNTIF(Clases!$T$6:$T$65,1*100000+$K30)&gt;1,-1,IFERROR(MATCH(1*100000+$K30,Clases!$T$6:$T$65,0),0)))</f>
        <v>0</v>
      </c>
      <c r="M30">
        <f>IF($K30="",0,IF(COUNTIF(Clases!$T$6:$T$65,2*100000+$K30)&gt;1,-1,IFERROR(MATCH(2*100000+$K30,Clases!$T$6:$T$65,0),0)))</f>
        <v>15</v>
      </c>
      <c r="N30">
        <f>IF($K30="",0,IF(COUNTIF(Clases!$T$6:$T$65,3*100000+$K30)&gt;1,-1,IFERROR(MATCH(3*100000+$K30,Clases!$T$6:$T$65,0),0)))</f>
        <v>0</v>
      </c>
      <c r="O30">
        <f>IF($K30="",0,IF(COUNTIF(Clases!$T$6:$T$65,4*100000+$K30)&gt;1,-1,IFERROR(MATCH(4*100000+$K30,Clases!$T$6:$T$65,0),0)))</f>
        <v>30</v>
      </c>
      <c r="P30">
        <f>IF($K30="",0,IF(COUNTIF(Clases!$T$6:$T$65,5*100000+$K30)&gt;1,-1,IFERROR(MATCH(5*100000+$K30,Clases!$T$6:$T$65,0),0)))</f>
        <v>0</v>
      </c>
      <c r="Q30">
        <f>IF($K30="",0,IF(COUNTIF(Clases!$T$6:$T$65,6*100000+$K30)&gt;1,-1,IFERROR(MATCH(6*100000+$K30,Clases!$T$6:$T$65,0),0)))</f>
        <v>0</v>
      </c>
      <c r="R30">
        <f>IF($K30="",0,IF(COUNTIF(Clases!$T$6:$T$65,7*100000+$K30)&gt;1,-1,IFERROR(MATCH(7*100000+$K30,Clases!$T$6:$T$65,0),0)))</f>
        <v>0</v>
      </c>
      <c r="S30">
        <f>IF(L30&gt;0,N(INDEX(Clases!$U$6:$U$65,L30)),IF(L30&lt;0,13,0))</f>
        <v>0</v>
      </c>
      <c r="T30">
        <f>IF(M30&gt;0,N(INDEX(Clases!$U$6:$U$65,M30)),IF(M30&lt;0,13,0))</f>
        <v>1</v>
      </c>
      <c r="U30">
        <f>IF(N30&gt;0,N(INDEX(Clases!$U$6:$U$65,N30)),IF(N30&lt;0,13,0))</f>
        <v>0</v>
      </c>
      <c r="V30">
        <f>IF(O30&gt;0,N(INDEX(Clases!$U$6:$U$65,O30)),IF(O30&lt;0,13,0))</f>
        <v>1</v>
      </c>
      <c r="W30">
        <f>IF(P30&gt;0,N(INDEX(Clases!$U$6:$U$65,P30)),IF(P30&lt;0,13,0))</f>
        <v>0</v>
      </c>
      <c r="X30">
        <f>IF(Q30&gt;0,N(INDEX(Clases!$U$6:$U$65,Q30)),IF(Q30&lt;0,13,0))</f>
        <v>0</v>
      </c>
      <c r="Y30">
        <f>IF(R30&gt;0,N(INDEX(Clases!$U$6:$U$65,R30)),IF(R30&lt;0,13,0))</f>
        <v>0</v>
      </c>
    </row>
    <row r="31" spans="2:25" ht="16" customHeight="1" x14ac:dyDescent="0.2">
      <c r="B31" s="66" t="str">
        <f>IF($K30="","",IFERROR(INDEX(Configuración!$F$6:$F$11,MOD($K30,10)),""))</f>
        <v>Box</v>
      </c>
      <c r="C31" s="67" t="str">
        <f>IF(L30&gt;0,INDEX(Clases!$G$6:$G$65,L30)&amp;IF(AND(INDEX(Clases!$G$6:$G$65,L30)&lt;&gt;"",INDEX(Clases!$J$6:$J$65,L30)&lt;&gt;"")," · ","")&amp;IF(INDEX(Clases!$J$6:$J$65,L30)="","",INDEX(Clases!$J$6:$J$65,L30)&amp;" min"),IF(L30&lt;0,"Revisa la hoja «Clases»",""))</f>
        <v/>
      </c>
      <c r="D31" s="67" t="str">
        <f>IF(M30&gt;0,INDEX(Clases!$G$6:$G$65,M30)&amp;IF(AND(INDEX(Clases!$G$6:$G$65,M30)&lt;&gt;"",INDEX(Clases!$J$6:$J$65,M30)&lt;&gt;"")," · ","")&amp;IF(INDEX(Clases!$J$6:$J$65,M30)="","",INDEX(Clases!$J$6:$J$65,M30)&amp;" min"),IF(M30&lt;0,"Revisa la hoja «Clases»",""))</f>
        <v>Dani · 60 min</v>
      </c>
      <c r="E31" s="67" t="str">
        <f>IF(N30&gt;0,INDEX(Clases!$G$6:$G$65,N30)&amp;IF(AND(INDEX(Clases!$G$6:$G$65,N30)&lt;&gt;"",INDEX(Clases!$J$6:$J$65,N30)&lt;&gt;"")," · ","")&amp;IF(INDEX(Clases!$J$6:$J$65,N30)="","",INDEX(Clases!$J$6:$J$65,N30)&amp;" min"),IF(N30&lt;0,"Revisa la hoja «Clases»",""))</f>
        <v/>
      </c>
      <c r="F31" s="67" t="str">
        <f>IF(O30&gt;0,INDEX(Clases!$G$6:$G$65,O30)&amp;IF(AND(INDEX(Clases!$G$6:$G$65,O30)&lt;&gt;"",INDEX(Clases!$J$6:$J$65,O30)&lt;&gt;"")," · ","")&amp;IF(INDEX(Clases!$J$6:$J$65,O30)="","",INDEX(Clases!$J$6:$J$65,O30)&amp;" min"),IF(O30&lt;0,"Revisa la hoja «Clases»",""))</f>
        <v>Dani · 60 min</v>
      </c>
      <c r="G31" s="67" t="str">
        <f>IF(P30&gt;0,INDEX(Clases!$G$6:$G$65,P30)&amp;IF(AND(INDEX(Clases!$G$6:$G$65,P30)&lt;&gt;"",INDEX(Clases!$J$6:$J$65,P30)&lt;&gt;"")," · ","")&amp;IF(INDEX(Clases!$J$6:$J$65,P30)="","",INDEX(Clases!$J$6:$J$65,P30)&amp;" min"),IF(P30&lt;0,"Revisa la hoja «Clases»",""))</f>
        <v/>
      </c>
      <c r="H31" s="67" t="str">
        <f>IF(Q30&gt;0,INDEX(Clases!$G$6:$G$65,Q30)&amp;IF(AND(INDEX(Clases!$G$6:$G$65,Q30)&lt;&gt;"",INDEX(Clases!$J$6:$J$65,Q30)&lt;&gt;"")," · ","")&amp;IF(INDEX(Clases!$J$6:$J$65,Q30)="","",INDEX(Clases!$J$6:$J$65,Q30)&amp;" min"),IF(Q30&lt;0,"Revisa la hoja «Clases»",""))</f>
        <v/>
      </c>
      <c r="I31" s="67" t="str">
        <f>IF(R30&gt;0,INDEX(Clases!$G$6:$G$65,R30)&amp;IF(AND(INDEX(Clases!$G$6:$G$65,R30)&lt;&gt;"",INDEX(Clases!$J$6:$J$65,R30)&lt;&gt;"")," · ","")&amp;IF(INDEX(Clases!$J$6:$J$65,R30)="","",INDEX(Clases!$J$6:$J$65,R30)&amp;" min"),IF(R30&lt;0,"Revisa la hoja «Clases»",""))</f>
        <v/>
      </c>
      <c r="S31">
        <f t="shared" ref="S31:Y31" si="12">S30</f>
        <v>0</v>
      </c>
      <c r="T31">
        <f t="shared" si="12"/>
        <v>1</v>
      </c>
      <c r="U31">
        <f t="shared" si="12"/>
        <v>0</v>
      </c>
      <c r="V31">
        <f t="shared" si="12"/>
        <v>1</v>
      </c>
      <c r="W31">
        <f t="shared" si="12"/>
        <v>0</v>
      </c>
      <c r="X31">
        <f t="shared" si="12"/>
        <v>0</v>
      </c>
      <c r="Y31">
        <f t="shared" si="12"/>
        <v>0</v>
      </c>
    </row>
    <row r="32" spans="2:25" ht="20.5" customHeight="1" x14ac:dyDescent="0.2">
      <c r="B32" s="64" t="str">
        <f>IF($K32="","",INT($K32/10)/1440)</f>
        <v/>
      </c>
      <c r="C32" s="65" t="str">
        <f>IF(L32&gt;0,INDEX(Clases!$E$6:$E$65,L32),IF(L32&lt;0,"2 clases a la vez",""))</f>
        <v/>
      </c>
      <c r="D32" s="65" t="str">
        <f>IF(M32&gt;0,INDEX(Clases!$E$6:$E$65,M32),IF(M32&lt;0,"2 clases a la vez",""))</f>
        <v/>
      </c>
      <c r="E32" s="65" t="str">
        <f>IF(N32&gt;0,INDEX(Clases!$E$6:$E$65,N32),IF(N32&lt;0,"2 clases a la vez",""))</f>
        <v/>
      </c>
      <c r="F32" s="65" t="str">
        <f>IF(O32&gt;0,INDEX(Clases!$E$6:$E$65,O32),IF(O32&lt;0,"2 clases a la vez",""))</f>
        <v/>
      </c>
      <c r="G32" s="65" t="str">
        <f>IF(P32&gt;0,INDEX(Clases!$E$6:$E$65,P32),IF(P32&lt;0,"2 clases a la vez",""))</f>
        <v/>
      </c>
      <c r="H32" s="65" t="str">
        <f>IF(Q32&gt;0,INDEX(Clases!$E$6:$E$65,Q32),IF(Q32&lt;0,"2 clases a la vez",""))</f>
        <v/>
      </c>
      <c r="I32" s="65" t="str">
        <f>IF(R32&gt;0,INDEX(Clases!$E$6:$E$65,R32),IF(R32&lt;0,"2 clases a la vez",""))</f>
        <v/>
      </c>
      <c r="K32" t="str">
        <f>IF(K30="","",IFERROR(SMALL(Clases!$S$6:$S$65,COUNTIF(Clases!$S$6:$S$65,"&lt;="&amp;K30)+1),""))</f>
        <v/>
      </c>
      <c r="L32">
        <f>IF($K32="",0,IF(COUNTIF(Clases!$T$6:$T$65,1*100000+$K32)&gt;1,-1,IFERROR(MATCH(1*100000+$K32,Clases!$T$6:$T$65,0),0)))</f>
        <v>0</v>
      </c>
      <c r="M32">
        <f>IF($K32="",0,IF(COUNTIF(Clases!$T$6:$T$65,2*100000+$K32)&gt;1,-1,IFERROR(MATCH(2*100000+$K32,Clases!$T$6:$T$65,0),0)))</f>
        <v>0</v>
      </c>
      <c r="N32">
        <f>IF($K32="",0,IF(COUNTIF(Clases!$T$6:$T$65,3*100000+$K32)&gt;1,-1,IFERROR(MATCH(3*100000+$K32,Clases!$T$6:$T$65,0),0)))</f>
        <v>0</v>
      </c>
      <c r="O32">
        <f>IF($K32="",0,IF(COUNTIF(Clases!$T$6:$T$65,4*100000+$K32)&gt;1,-1,IFERROR(MATCH(4*100000+$K32,Clases!$T$6:$T$65,0),0)))</f>
        <v>0</v>
      </c>
      <c r="P32">
        <f>IF($K32="",0,IF(COUNTIF(Clases!$T$6:$T$65,5*100000+$K32)&gt;1,-1,IFERROR(MATCH(5*100000+$K32,Clases!$T$6:$T$65,0),0)))</f>
        <v>0</v>
      </c>
      <c r="Q32">
        <f>IF($K32="",0,IF(COUNTIF(Clases!$T$6:$T$65,6*100000+$K32)&gt;1,-1,IFERROR(MATCH(6*100000+$K32,Clases!$T$6:$T$65,0),0)))</f>
        <v>0</v>
      </c>
      <c r="R32">
        <f>IF($K32="",0,IF(COUNTIF(Clases!$T$6:$T$65,7*100000+$K32)&gt;1,-1,IFERROR(MATCH(7*100000+$K32,Clases!$T$6:$T$65,0),0)))</f>
        <v>0</v>
      </c>
      <c r="S32">
        <f>IF(L32&gt;0,N(INDEX(Clases!$U$6:$U$65,L32)),IF(L32&lt;0,13,0))</f>
        <v>0</v>
      </c>
      <c r="T32">
        <f>IF(M32&gt;0,N(INDEX(Clases!$U$6:$U$65,M32)),IF(M32&lt;0,13,0))</f>
        <v>0</v>
      </c>
      <c r="U32">
        <f>IF(N32&gt;0,N(INDEX(Clases!$U$6:$U$65,N32)),IF(N32&lt;0,13,0))</f>
        <v>0</v>
      </c>
      <c r="V32">
        <f>IF(O32&gt;0,N(INDEX(Clases!$U$6:$U$65,O32)),IF(O32&lt;0,13,0))</f>
        <v>0</v>
      </c>
      <c r="W32">
        <f>IF(P32&gt;0,N(INDEX(Clases!$U$6:$U$65,P32)),IF(P32&lt;0,13,0))</f>
        <v>0</v>
      </c>
      <c r="X32">
        <f>IF(Q32&gt;0,N(INDEX(Clases!$U$6:$U$65,Q32)),IF(Q32&lt;0,13,0))</f>
        <v>0</v>
      </c>
      <c r="Y32">
        <f>IF(R32&gt;0,N(INDEX(Clases!$U$6:$U$65,R32)),IF(R32&lt;0,13,0))</f>
        <v>0</v>
      </c>
    </row>
    <row r="33" spans="2:25" ht="16" customHeight="1" x14ac:dyDescent="0.2">
      <c r="B33" s="66" t="str">
        <f>IF($K32="","",IFERROR(INDEX(Configuración!$F$6:$F$11,MOD($K32,10)),""))</f>
        <v/>
      </c>
      <c r="C33" s="67" t="str">
        <f>IF(L32&gt;0,INDEX(Clases!$G$6:$G$65,L32)&amp;IF(AND(INDEX(Clases!$G$6:$G$65,L32)&lt;&gt;"",INDEX(Clases!$J$6:$J$65,L32)&lt;&gt;"")," · ","")&amp;IF(INDEX(Clases!$J$6:$J$65,L32)="","",INDEX(Clases!$J$6:$J$65,L32)&amp;" min"),IF(L32&lt;0,"Revisa la hoja «Clases»",""))</f>
        <v/>
      </c>
      <c r="D33" s="67" t="str">
        <f>IF(M32&gt;0,INDEX(Clases!$G$6:$G$65,M32)&amp;IF(AND(INDEX(Clases!$G$6:$G$65,M32)&lt;&gt;"",INDEX(Clases!$J$6:$J$65,M32)&lt;&gt;"")," · ","")&amp;IF(INDEX(Clases!$J$6:$J$65,M32)="","",INDEX(Clases!$J$6:$J$65,M32)&amp;" min"),IF(M32&lt;0,"Revisa la hoja «Clases»",""))</f>
        <v/>
      </c>
      <c r="E33" s="67" t="str">
        <f>IF(N32&gt;0,INDEX(Clases!$G$6:$G$65,N32)&amp;IF(AND(INDEX(Clases!$G$6:$G$65,N32)&lt;&gt;"",INDEX(Clases!$J$6:$J$65,N32)&lt;&gt;"")," · ","")&amp;IF(INDEX(Clases!$J$6:$J$65,N32)="","",INDEX(Clases!$J$6:$J$65,N32)&amp;" min"),IF(N32&lt;0,"Revisa la hoja «Clases»",""))</f>
        <v/>
      </c>
      <c r="F33" s="67" t="str">
        <f>IF(O32&gt;0,INDEX(Clases!$G$6:$G$65,O32)&amp;IF(AND(INDEX(Clases!$G$6:$G$65,O32)&lt;&gt;"",INDEX(Clases!$J$6:$J$65,O32)&lt;&gt;"")," · ","")&amp;IF(INDEX(Clases!$J$6:$J$65,O32)="","",INDEX(Clases!$J$6:$J$65,O32)&amp;" min"),IF(O32&lt;0,"Revisa la hoja «Clases»",""))</f>
        <v/>
      </c>
      <c r="G33" s="67" t="str">
        <f>IF(P32&gt;0,INDEX(Clases!$G$6:$G$65,P32)&amp;IF(AND(INDEX(Clases!$G$6:$G$65,P32)&lt;&gt;"",INDEX(Clases!$J$6:$J$65,P32)&lt;&gt;"")," · ","")&amp;IF(INDEX(Clases!$J$6:$J$65,P32)="","",INDEX(Clases!$J$6:$J$65,P32)&amp;" min"),IF(P32&lt;0,"Revisa la hoja «Clases»",""))</f>
        <v/>
      </c>
      <c r="H33" s="67" t="str">
        <f>IF(Q32&gt;0,INDEX(Clases!$G$6:$G$65,Q32)&amp;IF(AND(INDEX(Clases!$G$6:$G$65,Q32)&lt;&gt;"",INDEX(Clases!$J$6:$J$65,Q32)&lt;&gt;"")," · ","")&amp;IF(INDEX(Clases!$J$6:$J$65,Q32)="","",INDEX(Clases!$J$6:$J$65,Q32)&amp;" min"),IF(Q32&lt;0,"Revisa la hoja «Clases»",""))</f>
        <v/>
      </c>
      <c r="I33" s="67" t="str">
        <f>IF(R32&gt;0,INDEX(Clases!$G$6:$G$65,R32)&amp;IF(AND(INDEX(Clases!$G$6:$G$65,R32)&lt;&gt;"",INDEX(Clases!$J$6:$J$65,R32)&lt;&gt;"")," · ","")&amp;IF(INDEX(Clases!$J$6:$J$65,R32)="","",INDEX(Clases!$J$6:$J$65,R32)&amp;" min"),IF(R32&lt;0,"Revisa la hoja «Clases»",""))</f>
        <v/>
      </c>
      <c r="S33">
        <f t="shared" ref="S33:Y33" si="13">S32</f>
        <v>0</v>
      </c>
      <c r="T33">
        <f t="shared" si="13"/>
        <v>0</v>
      </c>
      <c r="U33">
        <f t="shared" si="13"/>
        <v>0</v>
      </c>
      <c r="V33">
        <f t="shared" si="13"/>
        <v>0</v>
      </c>
      <c r="W33">
        <f t="shared" si="13"/>
        <v>0</v>
      </c>
      <c r="X33">
        <f t="shared" si="13"/>
        <v>0</v>
      </c>
      <c r="Y33">
        <f t="shared" si="13"/>
        <v>0</v>
      </c>
    </row>
    <row r="34" spans="2:25" ht="20.5" customHeight="1" x14ac:dyDescent="0.2">
      <c r="B34" s="64" t="str">
        <f>IF($K34="","",INT($K34/10)/1440)</f>
        <v/>
      </c>
      <c r="C34" s="65" t="str">
        <f>IF(L34&gt;0,INDEX(Clases!$E$6:$E$65,L34),IF(L34&lt;0,"2 clases a la vez",""))</f>
        <v/>
      </c>
      <c r="D34" s="65" t="str">
        <f>IF(M34&gt;0,INDEX(Clases!$E$6:$E$65,M34),IF(M34&lt;0,"2 clases a la vez",""))</f>
        <v/>
      </c>
      <c r="E34" s="65" t="str">
        <f>IF(N34&gt;0,INDEX(Clases!$E$6:$E$65,N34),IF(N34&lt;0,"2 clases a la vez",""))</f>
        <v/>
      </c>
      <c r="F34" s="65" t="str">
        <f>IF(O34&gt;0,INDEX(Clases!$E$6:$E$65,O34),IF(O34&lt;0,"2 clases a la vez",""))</f>
        <v/>
      </c>
      <c r="G34" s="65" t="str">
        <f>IF(P34&gt;0,INDEX(Clases!$E$6:$E$65,P34),IF(P34&lt;0,"2 clases a la vez",""))</f>
        <v/>
      </c>
      <c r="H34" s="65" t="str">
        <f>IF(Q34&gt;0,INDEX(Clases!$E$6:$E$65,Q34),IF(Q34&lt;0,"2 clases a la vez",""))</f>
        <v/>
      </c>
      <c r="I34" s="65" t="str">
        <f>IF(R34&gt;0,INDEX(Clases!$E$6:$E$65,R34),IF(R34&lt;0,"2 clases a la vez",""))</f>
        <v/>
      </c>
      <c r="K34" t="str">
        <f>IF(K32="","",IFERROR(SMALL(Clases!$S$6:$S$65,COUNTIF(Clases!$S$6:$S$65,"&lt;="&amp;K32)+1),""))</f>
        <v/>
      </c>
      <c r="L34">
        <f>IF($K34="",0,IF(COUNTIF(Clases!$T$6:$T$65,1*100000+$K34)&gt;1,-1,IFERROR(MATCH(1*100000+$K34,Clases!$T$6:$T$65,0),0)))</f>
        <v>0</v>
      </c>
      <c r="M34">
        <f>IF($K34="",0,IF(COUNTIF(Clases!$T$6:$T$65,2*100000+$K34)&gt;1,-1,IFERROR(MATCH(2*100000+$K34,Clases!$T$6:$T$65,0),0)))</f>
        <v>0</v>
      </c>
      <c r="N34">
        <f>IF($K34="",0,IF(COUNTIF(Clases!$T$6:$T$65,3*100000+$K34)&gt;1,-1,IFERROR(MATCH(3*100000+$K34,Clases!$T$6:$T$65,0),0)))</f>
        <v>0</v>
      </c>
      <c r="O34">
        <f>IF($K34="",0,IF(COUNTIF(Clases!$T$6:$T$65,4*100000+$K34)&gt;1,-1,IFERROR(MATCH(4*100000+$K34,Clases!$T$6:$T$65,0),0)))</f>
        <v>0</v>
      </c>
      <c r="P34">
        <f>IF($K34="",0,IF(COUNTIF(Clases!$T$6:$T$65,5*100000+$K34)&gt;1,-1,IFERROR(MATCH(5*100000+$K34,Clases!$T$6:$T$65,0),0)))</f>
        <v>0</v>
      </c>
      <c r="Q34">
        <f>IF($K34="",0,IF(COUNTIF(Clases!$T$6:$T$65,6*100000+$K34)&gt;1,-1,IFERROR(MATCH(6*100000+$K34,Clases!$T$6:$T$65,0),0)))</f>
        <v>0</v>
      </c>
      <c r="R34">
        <f>IF($K34="",0,IF(COUNTIF(Clases!$T$6:$T$65,7*100000+$K34)&gt;1,-1,IFERROR(MATCH(7*100000+$K34,Clases!$T$6:$T$65,0),0)))</f>
        <v>0</v>
      </c>
      <c r="S34">
        <f>IF(L34&gt;0,N(INDEX(Clases!$U$6:$U$65,L34)),IF(L34&lt;0,13,0))</f>
        <v>0</v>
      </c>
      <c r="T34">
        <f>IF(M34&gt;0,N(INDEX(Clases!$U$6:$U$65,M34)),IF(M34&lt;0,13,0))</f>
        <v>0</v>
      </c>
      <c r="U34">
        <f>IF(N34&gt;0,N(INDEX(Clases!$U$6:$U$65,N34)),IF(N34&lt;0,13,0))</f>
        <v>0</v>
      </c>
      <c r="V34">
        <f>IF(O34&gt;0,N(INDEX(Clases!$U$6:$U$65,O34)),IF(O34&lt;0,13,0))</f>
        <v>0</v>
      </c>
      <c r="W34">
        <f>IF(P34&gt;0,N(INDEX(Clases!$U$6:$U$65,P34)),IF(P34&lt;0,13,0))</f>
        <v>0</v>
      </c>
      <c r="X34">
        <f>IF(Q34&gt;0,N(INDEX(Clases!$U$6:$U$65,Q34)),IF(Q34&lt;0,13,0))</f>
        <v>0</v>
      </c>
      <c r="Y34">
        <f>IF(R34&gt;0,N(INDEX(Clases!$U$6:$U$65,R34)),IF(R34&lt;0,13,0))</f>
        <v>0</v>
      </c>
    </row>
    <row r="35" spans="2:25" ht="16" customHeight="1" x14ac:dyDescent="0.2">
      <c r="B35" s="66" t="str">
        <f>IF($K34="","",IFERROR(INDEX(Configuración!$F$6:$F$11,MOD($K34,10)),""))</f>
        <v/>
      </c>
      <c r="C35" s="67" t="str">
        <f>IF(L34&gt;0,INDEX(Clases!$G$6:$G$65,L34)&amp;IF(AND(INDEX(Clases!$G$6:$G$65,L34)&lt;&gt;"",INDEX(Clases!$J$6:$J$65,L34)&lt;&gt;"")," · ","")&amp;IF(INDEX(Clases!$J$6:$J$65,L34)="","",INDEX(Clases!$J$6:$J$65,L34)&amp;" min"),IF(L34&lt;0,"Revisa la hoja «Clases»",""))</f>
        <v/>
      </c>
      <c r="D35" s="67" t="str">
        <f>IF(M34&gt;0,INDEX(Clases!$G$6:$G$65,M34)&amp;IF(AND(INDEX(Clases!$G$6:$G$65,M34)&lt;&gt;"",INDEX(Clases!$J$6:$J$65,M34)&lt;&gt;"")," · ","")&amp;IF(INDEX(Clases!$J$6:$J$65,M34)="","",INDEX(Clases!$J$6:$J$65,M34)&amp;" min"),IF(M34&lt;0,"Revisa la hoja «Clases»",""))</f>
        <v/>
      </c>
      <c r="E35" s="67" t="str">
        <f>IF(N34&gt;0,INDEX(Clases!$G$6:$G$65,N34)&amp;IF(AND(INDEX(Clases!$G$6:$G$65,N34)&lt;&gt;"",INDEX(Clases!$J$6:$J$65,N34)&lt;&gt;"")," · ","")&amp;IF(INDEX(Clases!$J$6:$J$65,N34)="","",INDEX(Clases!$J$6:$J$65,N34)&amp;" min"),IF(N34&lt;0,"Revisa la hoja «Clases»",""))</f>
        <v/>
      </c>
      <c r="F35" s="67" t="str">
        <f>IF(O34&gt;0,INDEX(Clases!$G$6:$G$65,O34)&amp;IF(AND(INDEX(Clases!$G$6:$G$65,O34)&lt;&gt;"",INDEX(Clases!$J$6:$J$65,O34)&lt;&gt;"")," · ","")&amp;IF(INDEX(Clases!$J$6:$J$65,O34)="","",INDEX(Clases!$J$6:$J$65,O34)&amp;" min"),IF(O34&lt;0,"Revisa la hoja «Clases»",""))</f>
        <v/>
      </c>
      <c r="G35" s="67" t="str">
        <f>IF(P34&gt;0,INDEX(Clases!$G$6:$G$65,P34)&amp;IF(AND(INDEX(Clases!$G$6:$G$65,P34)&lt;&gt;"",INDEX(Clases!$J$6:$J$65,P34)&lt;&gt;"")," · ","")&amp;IF(INDEX(Clases!$J$6:$J$65,P34)="","",INDEX(Clases!$J$6:$J$65,P34)&amp;" min"),IF(P34&lt;0,"Revisa la hoja «Clases»",""))</f>
        <v/>
      </c>
      <c r="H35" s="67" t="str">
        <f>IF(Q34&gt;0,INDEX(Clases!$G$6:$G$65,Q34)&amp;IF(AND(INDEX(Clases!$G$6:$G$65,Q34)&lt;&gt;"",INDEX(Clases!$J$6:$J$65,Q34)&lt;&gt;"")," · ","")&amp;IF(INDEX(Clases!$J$6:$J$65,Q34)="","",INDEX(Clases!$J$6:$J$65,Q34)&amp;" min"),IF(Q34&lt;0,"Revisa la hoja «Clases»",""))</f>
        <v/>
      </c>
      <c r="I35" s="67" t="str">
        <f>IF(R34&gt;0,INDEX(Clases!$G$6:$G$65,R34)&amp;IF(AND(INDEX(Clases!$G$6:$G$65,R34)&lt;&gt;"",INDEX(Clases!$J$6:$J$65,R34)&lt;&gt;"")," · ","")&amp;IF(INDEX(Clases!$J$6:$J$65,R34)="","",INDEX(Clases!$J$6:$J$65,R34)&amp;" min"),IF(R34&lt;0,"Revisa la hoja «Clases»",""))</f>
        <v/>
      </c>
      <c r="S35">
        <f t="shared" ref="S35:Y35" si="14">S34</f>
        <v>0</v>
      </c>
      <c r="T35">
        <f t="shared" si="14"/>
        <v>0</v>
      </c>
      <c r="U35">
        <f t="shared" si="14"/>
        <v>0</v>
      </c>
      <c r="V35">
        <f t="shared" si="14"/>
        <v>0</v>
      </c>
      <c r="W35">
        <f t="shared" si="14"/>
        <v>0</v>
      </c>
      <c r="X35">
        <f t="shared" si="14"/>
        <v>0</v>
      </c>
      <c r="Y35">
        <f t="shared" si="14"/>
        <v>0</v>
      </c>
    </row>
    <row r="36" spans="2:25" ht="20.5" customHeight="1" x14ac:dyDescent="0.2">
      <c r="B36" s="64" t="str">
        <f>IF($K36="","",INT($K36/10)/1440)</f>
        <v/>
      </c>
      <c r="C36" s="65" t="str">
        <f>IF(L36&gt;0,INDEX(Clases!$E$6:$E$65,L36),IF(L36&lt;0,"2 clases a la vez",""))</f>
        <v/>
      </c>
      <c r="D36" s="65" t="str">
        <f>IF(M36&gt;0,INDEX(Clases!$E$6:$E$65,M36),IF(M36&lt;0,"2 clases a la vez",""))</f>
        <v/>
      </c>
      <c r="E36" s="65" t="str">
        <f>IF(N36&gt;0,INDEX(Clases!$E$6:$E$65,N36),IF(N36&lt;0,"2 clases a la vez",""))</f>
        <v/>
      </c>
      <c r="F36" s="65" t="str">
        <f>IF(O36&gt;0,INDEX(Clases!$E$6:$E$65,O36),IF(O36&lt;0,"2 clases a la vez",""))</f>
        <v/>
      </c>
      <c r="G36" s="65" t="str">
        <f>IF(P36&gt;0,INDEX(Clases!$E$6:$E$65,P36),IF(P36&lt;0,"2 clases a la vez",""))</f>
        <v/>
      </c>
      <c r="H36" s="65" t="str">
        <f>IF(Q36&gt;0,INDEX(Clases!$E$6:$E$65,Q36),IF(Q36&lt;0,"2 clases a la vez",""))</f>
        <v/>
      </c>
      <c r="I36" s="65" t="str">
        <f>IF(R36&gt;0,INDEX(Clases!$E$6:$E$65,R36),IF(R36&lt;0,"2 clases a la vez",""))</f>
        <v/>
      </c>
      <c r="K36" t="str">
        <f>IF(K34="","",IFERROR(SMALL(Clases!$S$6:$S$65,COUNTIF(Clases!$S$6:$S$65,"&lt;="&amp;K34)+1),""))</f>
        <v/>
      </c>
      <c r="L36">
        <f>IF($K36="",0,IF(COUNTIF(Clases!$T$6:$T$65,1*100000+$K36)&gt;1,-1,IFERROR(MATCH(1*100000+$K36,Clases!$T$6:$T$65,0),0)))</f>
        <v>0</v>
      </c>
      <c r="M36">
        <f>IF($K36="",0,IF(COUNTIF(Clases!$T$6:$T$65,2*100000+$K36)&gt;1,-1,IFERROR(MATCH(2*100000+$K36,Clases!$T$6:$T$65,0),0)))</f>
        <v>0</v>
      </c>
      <c r="N36">
        <f>IF($K36="",0,IF(COUNTIF(Clases!$T$6:$T$65,3*100000+$K36)&gt;1,-1,IFERROR(MATCH(3*100000+$K36,Clases!$T$6:$T$65,0),0)))</f>
        <v>0</v>
      </c>
      <c r="O36">
        <f>IF($K36="",0,IF(COUNTIF(Clases!$T$6:$T$65,4*100000+$K36)&gt;1,-1,IFERROR(MATCH(4*100000+$K36,Clases!$T$6:$T$65,0),0)))</f>
        <v>0</v>
      </c>
      <c r="P36">
        <f>IF($K36="",0,IF(COUNTIF(Clases!$T$6:$T$65,5*100000+$K36)&gt;1,-1,IFERROR(MATCH(5*100000+$K36,Clases!$T$6:$T$65,0),0)))</f>
        <v>0</v>
      </c>
      <c r="Q36">
        <f>IF($K36="",0,IF(COUNTIF(Clases!$T$6:$T$65,6*100000+$K36)&gt;1,-1,IFERROR(MATCH(6*100000+$K36,Clases!$T$6:$T$65,0),0)))</f>
        <v>0</v>
      </c>
      <c r="R36">
        <f>IF($K36="",0,IF(COUNTIF(Clases!$T$6:$T$65,7*100000+$K36)&gt;1,-1,IFERROR(MATCH(7*100000+$K36,Clases!$T$6:$T$65,0),0)))</f>
        <v>0</v>
      </c>
      <c r="S36">
        <f>IF(L36&gt;0,N(INDEX(Clases!$U$6:$U$65,L36)),IF(L36&lt;0,13,0))</f>
        <v>0</v>
      </c>
      <c r="T36">
        <f>IF(M36&gt;0,N(INDEX(Clases!$U$6:$U$65,M36)),IF(M36&lt;0,13,0))</f>
        <v>0</v>
      </c>
      <c r="U36">
        <f>IF(N36&gt;0,N(INDEX(Clases!$U$6:$U$65,N36)),IF(N36&lt;0,13,0))</f>
        <v>0</v>
      </c>
      <c r="V36">
        <f>IF(O36&gt;0,N(INDEX(Clases!$U$6:$U$65,O36)),IF(O36&lt;0,13,0))</f>
        <v>0</v>
      </c>
      <c r="W36">
        <f>IF(P36&gt;0,N(INDEX(Clases!$U$6:$U$65,P36)),IF(P36&lt;0,13,0))</f>
        <v>0</v>
      </c>
      <c r="X36">
        <f>IF(Q36&gt;0,N(INDEX(Clases!$U$6:$U$65,Q36)),IF(Q36&lt;0,13,0))</f>
        <v>0</v>
      </c>
      <c r="Y36">
        <f>IF(R36&gt;0,N(INDEX(Clases!$U$6:$U$65,R36)),IF(R36&lt;0,13,0))</f>
        <v>0</v>
      </c>
    </row>
    <row r="37" spans="2:25" ht="16" customHeight="1" x14ac:dyDescent="0.2">
      <c r="B37" s="66" t="str">
        <f>IF($K36="","",IFERROR(INDEX(Configuración!$F$6:$F$11,MOD($K36,10)),""))</f>
        <v/>
      </c>
      <c r="C37" s="67" t="str">
        <f>IF(L36&gt;0,INDEX(Clases!$G$6:$G$65,L36)&amp;IF(AND(INDEX(Clases!$G$6:$G$65,L36)&lt;&gt;"",INDEX(Clases!$J$6:$J$65,L36)&lt;&gt;"")," · ","")&amp;IF(INDEX(Clases!$J$6:$J$65,L36)="","",INDEX(Clases!$J$6:$J$65,L36)&amp;" min"),IF(L36&lt;0,"Revisa la hoja «Clases»",""))</f>
        <v/>
      </c>
      <c r="D37" s="67" t="str">
        <f>IF(M36&gt;0,INDEX(Clases!$G$6:$G$65,M36)&amp;IF(AND(INDEX(Clases!$G$6:$G$65,M36)&lt;&gt;"",INDEX(Clases!$J$6:$J$65,M36)&lt;&gt;"")," · ","")&amp;IF(INDEX(Clases!$J$6:$J$65,M36)="","",INDEX(Clases!$J$6:$J$65,M36)&amp;" min"),IF(M36&lt;0,"Revisa la hoja «Clases»",""))</f>
        <v/>
      </c>
      <c r="E37" s="67" t="str">
        <f>IF(N36&gt;0,INDEX(Clases!$G$6:$G$65,N36)&amp;IF(AND(INDEX(Clases!$G$6:$G$65,N36)&lt;&gt;"",INDEX(Clases!$J$6:$J$65,N36)&lt;&gt;"")," · ","")&amp;IF(INDEX(Clases!$J$6:$J$65,N36)="","",INDEX(Clases!$J$6:$J$65,N36)&amp;" min"),IF(N36&lt;0,"Revisa la hoja «Clases»",""))</f>
        <v/>
      </c>
      <c r="F37" s="67" t="str">
        <f>IF(O36&gt;0,INDEX(Clases!$G$6:$G$65,O36)&amp;IF(AND(INDEX(Clases!$G$6:$G$65,O36)&lt;&gt;"",INDEX(Clases!$J$6:$J$65,O36)&lt;&gt;"")," · ","")&amp;IF(INDEX(Clases!$J$6:$J$65,O36)="","",INDEX(Clases!$J$6:$J$65,O36)&amp;" min"),IF(O36&lt;0,"Revisa la hoja «Clases»",""))</f>
        <v/>
      </c>
      <c r="G37" s="67" t="str">
        <f>IF(P36&gt;0,INDEX(Clases!$G$6:$G$65,P36)&amp;IF(AND(INDEX(Clases!$G$6:$G$65,P36)&lt;&gt;"",INDEX(Clases!$J$6:$J$65,P36)&lt;&gt;"")," · ","")&amp;IF(INDEX(Clases!$J$6:$J$65,P36)="","",INDEX(Clases!$J$6:$J$65,P36)&amp;" min"),IF(P36&lt;0,"Revisa la hoja «Clases»",""))</f>
        <v/>
      </c>
      <c r="H37" s="67" t="str">
        <f>IF(Q36&gt;0,INDEX(Clases!$G$6:$G$65,Q36)&amp;IF(AND(INDEX(Clases!$G$6:$G$65,Q36)&lt;&gt;"",INDEX(Clases!$J$6:$J$65,Q36)&lt;&gt;"")," · ","")&amp;IF(INDEX(Clases!$J$6:$J$65,Q36)="","",INDEX(Clases!$J$6:$J$65,Q36)&amp;" min"),IF(Q36&lt;0,"Revisa la hoja «Clases»",""))</f>
        <v/>
      </c>
      <c r="I37" s="67" t="str">
        <f>IF(R36&gt;0,INDEX(Clases!$G$6:$G$65,R36)&amp;IF(AND(INDEX(Clases!$G$6:$G$65,R36)&lt;&gt;"",INDEX(Clases!$J$6:$J$65,R36)&lt;&gt;"")," · ","")&amp;IF(INDEX(Clases!$J$6:$J$65,R36)="","",INDEX(Clases!$J$6:$J$65,R36)&amp;" min"),IF(R36&lt;0,"Revisa la hoja «Clases»",""))</f>
        <v/>
      </c>
      <c r="S37">
        <f t="shared" ref="S37:Y37" si="15">S36</f>
        <v>0</v>
      </c>
      <c r="T37">
        <f t="shared" si="15"/>
        <v>0</v>
      </c>
      <c r="U37">
        <f t="shared" si="15"/>
        <v>0</v>
      </c>
      <c r="V37">
        <f t="shared" si="15"/>
        <v>0</v>
      </c>
      <c r="W37">
        <f t="shared" si="15"/>
        <v>0</v>
      </c>
      <c r="X37">
        <f t="shared" si="15"/>
        <v>0</v>
      </c>
      <c r="Y37">
        <f t="shared" si="15"/>
        <v>0</v>
      </c>
    </row>
    <row r="38" spans="2:25" ht="20.5" customHeight="1" x14ac:dyDescent="0.2">
      <c r="B38" s="64" t="str">
        <f>IF($K38="","",INT($K38/10)/1440)</f>
        <v/>
      </c>
      <c r="C38" s="65" t="str">
        <f>IF(L38&gt;0,INDEX(Clases!$E$6:$E$65,L38),IF(L38&lt;0,"2 clases a la vez",""))</f>
        <v/>
      </c>
      <c r="D38" s="65" t="str">
        <f>IF(M38&gt;0,INDEX(Clases!$E$6:$E$65,M38),IF(M38&lt;0,"2 clases a la vez",""))</f>
        <v/>
      </c>
      <c r="E38" s="65" t="str">
        <f>IF(N38&gt;0,INDEX(Clases!$E$6:$E$65,N38),IF(N38&lt;0,"2 clases a la vez",""))</f>
        <v/>
      </c>
      <c r="F38" s="65" t="str">
        <f>IF(O38&gt;0,INDEX(Clases!$E$6:$E$65,O38),IF(O38&lt;0,"2 clases a la vez",""))</f>
        <v/>
      </c>
      <c r="G38" s="65" t="str">
        <f>IF(P38&gt;0,INDEX(Clases!$E$6:$E$65,P38),IF(P38&lt;0,"2 clases a la vez",""))</f>
        <v/>
      </c>
      <c r="H38" s="65" t="str">
        <f>IF(Q38&gt;0,INDEX(Clases!$E$6:$E$65,Q38),IF(Q38&lt;0,"2 clases a la vez",""))</f>
        <v/>
      </c>
      <c r="I38" s="65" t="str">
        <f>IF(R38&gt;0,INDEX(Clases!$E$6:$E$65,R38),IF(R38&lt;0,"2 clases a la vez",""))</f>
        <v/>
      </c>
      <c r="K38" t="str">
        <f>IF(K36="","",IFERROR(SMALL(Clases!$S$6:$S$65,COUNTIF(Clases!$S$6:$S$65,"&lt;="&amp;K36)+1),""))</f>
        <v/>
      </c>
      <c r="L38">
        <f>IF($K38="",0,IF(COUNTIF(Clases!$T$6:$T$65,1*100000+$K38)&gt;1,-1,IFERROR(MATCH(1*100000+$K38,Clases!$T$6:$T$65,0),0)))</f>
        <v>0</v>
      </c>
      <c r="M38">
        <f>IF($K38="",0,IF(COUNTIF(Clases!$T$6:$T$65,2*100000+$K38)&gt;1,-1,IFERROR(MATCH(2*100000+$K38,Clases!$T$6:$T$65,0),0)))</f>
        <v>0</v>
      </c>
      <c r="N38">
        <f>IF($K38="",0,IF(COUNTIF(Clases!$T$6:$T$65,3*100000+$K38)&gt;1,-1,IFERROR(MATCH(3*100000+$K38,Clases!$T$6:$T$65,0),0)))</f>
        <v>0</v>
      </c>
      <c r="O38">
        <f>IF($K38="",0,IF(COUNTIF(Clases!$T$6:$T$65,4*100000+$K38)&gt;1,-1,IFERROR(MATCH(4*100000+$K38,Clases!$T$6:$T$65,0),0)))</f>
        <v>0</v>
      </c>
      <c r="P38">
        <f>IF($K38="",0,IF(COUNTIF(Clases!$T$6:$T$65,5*100000+$K38)&gt;1,-1,IFERROR(MATCH(5*100000+$K38,Clases!$T$6:$T$65,0),0)))</f>
        <v>0</v>
      </c>
      <c r="Q38">
        <f>IF($K38="",0,IF(COUNTIF(Clases!$T$6:$T$65,6*100000+$K38)&gt;1,-1,IFERROR(MATCH(6*100000+$K38,Clases!$T$6:$T$65,0),0)))</f>
        <v>0</v>
      </c>
      <c r="R38">
        <f>IF($K38="",0,IF(COUNTIF(Clases!$T$6:$T$65,7*100000+$K38)&gt;1,-1,IFERROR(MATCH(7*100000+$K38,Clases!$T$6:$T$65,0),0)))</f>
        <v>0</v>
      </c>
      <c r="S38">
        <f>IF(L38&gt;0,N(INDEX(Clases!$U$6:$U$65,L38)),IF(L38&lt;0,13,0))</f>
        <v>0</v>
      </c>
      <c r="T38">
        <f>IF(M38&gt;0,N(INDEX(Clases!$U$6:$U$65,M38)),IF(M38&lt;0,13,0))</f>
        <v>0</v>
      </c>
      <c r="U38">
        <f>IF(N38&gt;0,N(INDEX(Clases!$U$6:$U$65,N38)),IF(N38&lt;0,13,0))</f>
        <v>0</v>
      </c>
      <c r="V38">
        <f>IF(O38&gt;0,N(INDEX(Clases!$U$6:$U$65,O38)),IF(O38&lt;0,13,0))</f>
        <v>0</v>
      </c>
      <c r="W38">
        <f>IF(P38&gt;0,N(INDEX(Clases!$U$6:$U$65,P38)),IF(P38&lt;0,13,0))</f>
        <v>0</v>
      </c>
      <c r="X38">
        <f>IF(Q38&gt;0,N(INDEX(Clases!$U$6:$U$65,Q38)),IF(Q38&lt;0,13,0))</f>
        <v>0</v>
      </c>
      <c r="Y38">
        <f>IF(R38&gt;0,N(INDEX(Clases!$U$6:$U$65,R38)),IF(R38&lt;0,13,0))</f>
        <v>0</v>
      </c>
    </row>
    <row r="39" spans="2:25" ht="16" customHeight="1" x14ac:dyDescent="0.2">
      <c r="B39" s="66" t="str">
        <f>IF($K38="","",IFERROR(INDEX(Configuración!$F$6:$F$11,MOD($K38,10)),""))</f>
        <v/>
      </c>
      <c r="C39" s="67" t="str">
        <f>IF(L38&gt;0,INDEX(Clases!$G$6:$G$65,L38)&amp;IF(AND(INDEX(Clases!$G$6:$G$65,L38)&lt;&gt;"",INDEX(Clases!$J$6:$J$65,L38)&lt;&gt;"")," · ","")&amp;IF(INDEX(Clases!$J$6:$J$65,L38)="","",INDEX(Clases!$J$6:$J$65,L38)&amp;" min"),IF(L38&lt;0,"Revisa la hoja «Clases»",""))</f>
        <v/>
      </c>
      <c r="D39" s="67" t="str">
        <f>IF(M38&gt;0,INDEX(Clases!$G$6:$G$65,M38)&amp;IF(AND(INDEX(Clases!$G$6:$G$65,M38)&lt;&gt;"",INDEX(Clases!$J$6:$J$65,M38)&lt;&gt;"")," · ","")&amp;IF(INDEX(Clases!$J$6:$J$65,M38)="","",INDEX(Clases!$J$6:$J$65,M38)&amp;" min"),IF(M38&lt;0,"Revisa la hoja «Clases»",""))</f>
        <v/>
      </c>
      <c r="E39" s="67" t="str">
        <f>IF(N38&gt;0,INDEX(Clases!$G$6:$G$65,N38)&amp;IF(AND(INDEX(Clases!$G$6:$G$65,N38)&lt;&gt;"",INDEX(Clases!$J$6:$J$65,N38)&lt;&gt;"")," · ","")&amp;IF(INDEX(Clases!$J$6:$J$65,N38)="","",INDEX(Clases!$J$6:$J$65,N38)&amp;" min"),IF(N38&lt;0,"Revisa la hoja «Clases»",""))</f>
        <v/>
      </c>
      <c r="F39" s="67" t="str">
        <f>IF(O38&gt;0,INDEX(Clases!$G$6:$G$65,O38)&amp;IF(AND(INDEX(Clases!$G$6:$G$65,O38)&lt;&gt;"",INDEX(Clases!$J$6:$J$65,O38)&lt;&gt;"")," · ","")&amp;IF(INDEX(Clases!$J$6:$J$65,O38)="","",INDEX(Clases!$J$6:$J$65,O38)&amp;" min"),IF(O38&lt;0,"Revisa la hoja «Clases»",""))</f>
        <v/>
      </c>
      <c r="G39" s="67" t="str">
        <f>IF(P38&gt;0,INDEX(Clases!$G$6:$G$65,P38)&amp;IF(AND(INDEX(Clases!$G$6:$G$65,P38)&lt;&gt;"",INDEX(Clases!$J$6:$J$65,P38)&lt;&gt;"")," · ","")&amp;IF(INDEX(Clases!$J$6:$J$65,P38)="","",INDEX(Clases!$J$6:$J$65,P38)&amp;" min"),IF(P38&lt;0,"Revisa la hoja «Clases»",""))</f>
        <v/>
      </c>
      <c r="H39" s="67" t="str">
        <f>IF(Q38&gt;0,INDEX(Clases!$G$6:$G$65,Q38)&amp;IF(AND(INDEX(Clases!$G$6:$G$65,Q38)&lt;&gt;"",INDEX(Clases!$J$6:$J$65,Q38)&lt;&gt;"")," · ","")&amp;IF(INDEX(Clases!$J$6:$J$65,Q38)="","",INDEX(Clases!$J$6:$J$65,Q38)&amp;" min"),IF(Q38&lt;0,"Revisa la hoja «Clases»",""))</f>
        <v/>
      </c>
      <c r="I39" s="67" t="str">
        <f>IF(R38&gt;0,INDEX(Clases!$G$6:$G$65,R38)&amp;IF(AND(INDEX(Clases!$G$6:$G$65,R38)&lt;&gt;"",INDEX(Clases!$J$6:$J$65,R38)&lt;&gt;"")," · ","")&amp;IF(INDEX(Clases!$J$6:$J$65,R38)="","",INDEX(Clases!$J$6:$J$65,R38)&amp;" min"),IF(R38&lt;0,"Revisa la hoja «Clases»",""))</f>
        <v/>
      </c>
      <c r="S39">
        <f t="shared" ref="S39:Y39" si="16">S38</f>
        <v>0</v>
      </c>
      <c r="T39">
        <f t="shared" si="16"/>
        <v>0</v>
      </c>
      <c r="U39">
        <f t="shared" si="16"/>
        <v>0</v>
      </c>
      <c r="V39">
        <f t="shared" si="16"/>
        <v>0</v>
      </c>
      <c r="W39">
        <f t="shared" si="16"/>
        <v>0</v>
      </c>
      <c r="X39">
        <f t="shared" si="16"/>
        <v>0</v>
      </c>
      <c r="Y39">
        <f t="shared" si="16"/>
        <v>0</v>
      </c>
    </row>
    <row r="40" spans="2:25" ht="20.5" customHeight="1" x14ac:dyDescent="0.2">
      <c r="B40" s="64" t="str">
        <f>IF($K40="","",INT($K40/10)/1440)</f>
        <v/>
      </c>
      <c r="C40" s="65" t="str">
        <f>IF(L40&gt;0,INDEX(Clases!$E$6:$E$65,L40),IF(L40&lt;0,"2 clases a la vez",""))</f>
        <v/>
      </c>
      <c r="D40" s="65" t="str">
        <f>IF(M40&gt;0,INDEX(Clases!$E$6:$E$65,M40),IF(M40&lt;0,"2 clases a la vez",""))</f>
        <v/>
      </c>
      <c r="E40" s="65" t="str">
        <f>IF(N40&gt;0,INDEX(Clases!$E$6:$E$65,N40),IF(N40&lt;0,"2 clases a la vez",""))</f>
        <v/>
      </c>
      <c r="F40" s="65" t="str">
        <f>IF(O40&gt;0,INDEX(Clases!$E$6:$E$65,O40),IF(O40&lt;0,"2 clases a la vez",""))</f>
        <v/>
      </c>
      <c r="G40" s="65" t="str">
        <f>IF(P40&gt;0,INDEX(Clases!$E$6:$E$65,P40),IF(P40&lt;0,"2 clases a la vez",""))</f>
        <v/>
      </c>
      <c r="H40" s="65" t="str">
        <f>IF(Q40&gt;0,INDEX(Clases!$E$6:$E$65,Q40),IF(Q40&lt;0,"2 clases a la vez",""))</f>
        <v/>
      </c>
      <c r="I40" s="65" t="str">
        <f>IF(R40&gt;0,INDEX(Clases!$E$6:$E$65,R40),IF(R40&lt;0,"2 clases a la vez",""))</f>
        <v/>
      </c>
      <c r="K40" t="str">
        <f>IF(K38="","",IFERROR(SMALL(Clases!$S$6:$S$65,COUNTIF(Clases!$S$6:$S$65,"&lt;="&amp;K38)+1),""))</f>
        <v/>
      </c>
      <c r="L40">
        <f>IF($K40="",0,IF(COUNTIF(Clases!$T$6:$T$65,1*100000+$K40)&gt;1,-1,IFERROR(MATCH(1*100000+$K40,Clases!$T$6:$T$65,0),0)))</f>
        <v>0</v>
      </c>
      <c r="M40">
        <f>IF($K40="",0,IF(COUNTIF(Clases!$T$6:$T$65,2*100000+$K40)&gt;1,-1,IFERROR(MATCH(2*100000+$K40,Clases!$T$6:$T$65,0),0)))</f>
        <v>0</v>
      </c>
      <c r="N40">
        <f>IF($K40="",0,IF(COUNTIF(Clases!$T$6:$T$65,3*100000+$K40)&gt;1,-1,IFERROR(MATCH(3*100000+$K40,Clases!$T$6:$T$65,0),0)))</f>
        <v>0</v>
      </c>
      <c r="O40">
        <f>IF($K40="",0,IF(COUNTIF(Clases!$T$6:$T$65,4*100000+$K40)&gt;1,-1,IFERROR(MATCH(4*100000+$K40,Clases!$T$6:$T$65,0),0)))</f>
        <v>0</v>
      </c>
      <c r="P40">
        <f>IF($K40="",0,IF(COUNTIF(Clases!$T$6:$T$65,5*100000+$K40)&gt;1,-1,IFERROR(MATCH(5*100000+$K40,Clases!$T$6:$T$65,0),0)))</f>
        <v>0</v>
      </c>
      <c r="Q40">
        <f>IF($K40="",0,IF(COUNTIF(Clases!$T$6:$T$65,6*100000+$K40)&gt;1,-1,IFERROR(MATCH(6*100000+$K40,Clases!$T$6:$T$65,0),0)))</f>
        <v>0</v>
      </c>
      <c r="R40">
        <f>IF($K40="",0,IF(COUNTIF(Clases!$T$6:$T$65,7*100000+$K40)&gt;1,-1,IFERROR(MATCH(7*100000+$K40,Clases!$T$6:$T$65,0),0)))</f>
        <v>0</v>
      </c>
      <c r="S40">
        <f>IF(L40&gt;0,N(INDEX(Clases!$U$6:$U$65,L40)),IF(L40&lt;0,13,0))</f>
        <v>0</v>
      </c>
      <c r="T40">
        <f>IF(M40&gt;0,N(INDEX(Clases!$U$6:$U$65,M40)),IF(M40&lt;0,13,0))</f>
        <v>0</v>
      </c>
      <c r="U40">
        <f>IF(N40&gt;0,N(INDEX(Clases!$U$6:$U$65,N40)),IF(N40&lt;0,13,0))</f>
        <v>0</v>
      </c>
      <c r="V40">
        <f>IF(O40&gt;0,N(INDEX(Clases!$U$6:$U$65,O40)),IF(O40&lt;0,13,0))</f>
        <v>0</v>
      </c>
      <c r="W40">
        <f>IF(P40&gt;0,N(INDEX(Clases!$U$6:$U$65,P40)),IF(P40&lt;0,13,0))</f>
        <v>0</v>
      </c>
      <c r="X40">
        <f>IF(Q40&gt;0,N(INDEX(Clases!$U$6:$U$65,Q40)),IF(Q40&lt;0,13,0))</f>
        <v>0</v>
      </c>
      <c r="Y40">
        <f>IF(R40&gt;0,N(INDEX(Clases!$U$6:$U$65,R40)),IF(R40&lt;0,13,0))</f>
        <v>0</v>
      </c>
    </row>
    <row r="41" spans="2:25" ht="16" customHeight="1" x14ac:dyDescent="0.2">
      <c r="B41" s="66" t="str">
        <f>IF($K40="","",IFERROR(INDEX(Configuración!$F$6:$F$11,MOD($K40,10)),""))</f>
        <v/>
      </c>
      <c r="C41" s="67" t="str">
        <f>IF(L40&gt;0,INDEX(Clases!$G$6:$G$65,L40)&amp;IF(AND(INDEX(Clases!$G$6:$G$65,L40)&lt;&gt;"",INDEX(Clases!$J$6:$J$65,L40)&lt;&gt;"")," · ","")&amp;IF(INDEX(Clases!$J$6:$J$65,L40)="","",INDEX(Clases!$J$6:$J$65,L40)&amp;" min"),IF(L40&lt;0,"Revisa la hoja «Clases»",""))</f>
        <v/>
      </c>
      <c r="D41" s="67" t="str">
        <f>IF(M40&gt;0,INDEX(Clases!$G$6:$G$65,M40)&amp;IF(AND(INDEX(Clases!$G$6:$G$65,M40)&lt;&gt;"",INDEX(Clases!$J$6:$J$65,M40)&lt;&gt;"")," · ","")&amp;IF(INDEX(Clases!$J$6:$J$65,M40)="","",INDEX(Clases!$J$6:$J$65,M40)&amp;" min"),IF(M40&lt;0,"Revisa la hoja «Clases»",""))</f>
        <v/>
      </c>
      <c r="E41" s="67" t="str">
        <f>IF(N40&gt;0,INDEX(Clases!$G$6:$G$65,N40)&amp;IF(AND(INDEX(Clases!$G$6:$G$65,N40)&lt;&gt;"",INDEX(Clases!$J$6:$J$65,N40)&lt;&gt;"")," · ","")&amp;IF(INDEX(Clases!$J$6:$J$65,N40)="","",INDEX(Clases!$J$6:$J$65,N40)&amp;" min"),IF(N40&lt;0,"Revisa la hoja «Clases»",""))</f>
        <v/>
      </c>
      <c r="F41" s="67" t="str">
        <f>IF(O40&gt;0,INDEX(Clases!$G$6:$G$65,O40)&amp;IF(AND(INDEX(Clases!$G$6:$G$65,O40)&lt;&gt;"",INDEX(Clases!$J$6:$J$65,O40)&lt;&gt;"")," · ","")&amp;IF(INDEX(Clases!$J$6:$J$65,O40)="","",INDEX(Clases!$J$6:$J$65,O40)&amp;" min"),IF(O40&lt;0,"Revisa la hoja «Clases»",""))</f>
        <v/>
      </c>
      <c r="G41" s="67" t="str">
        <f>IF(P40&gt;0,INDEX(Clases!$G$6:$G$65,P40)&amp;IF(AND(INDEX(Clases!$G$6:$G$65,P40)&lt;&gt;"",INDEX(Clases!$J$6:$J$65,P40)&lt;&gt;"")," · ","")&amp;IF(INDEX(Clases!$J$6:$J$65,P40)="","",INDEX(Clases!$J$6:$J$65,P40)&amp;" min"),IF(P40&lt;0,"Revisa la hoja «Clases»",""))</f>
        <v/>
      </c>
      <c r="H41" s="67" t="str">
        <f>IF(Q40&gt;0,INDEX(Clases!$G$6:$G$65,Q40)&amp;IF(AND(INDEX(Clases!$G$6:$G$65,Q40)&lt;&gt;"",INDEX(Clases!$J$6:$J$65,Q40)&lt;&gt;"")," · ","")&amp;IF(INDEX(Clases!$J$6:$J$65,Q40)="","",INDEX(Clases!$J$6:$J$65,Q40)&amp;" min"),IF(Q40&lt;0,"Revisa la hoja «Clases»",""))</f>
        <v/>
      </c>
      <c r="I41" s="67" t="str">
        <f>IF(R40&gt;0,INDEX(Clases!$G$6:$G$65,R40)&amp;IF(AND(INDEX(Clases!$G$6:$G$65,R40)&lt;&gt;"",INDEX(Clases!$J$6:$J$65,R40)&lt;&gt;"")," · ","")&amp;IF(INDEX(Clases!$J$6:$J$65,R40)="","",INDEX(Clases!$J$6:$J$65,R40)&amp;" min"),IF(R40&lt;0,"Revisa la hoja «Clases»",""))</f>
        <v/>
      </c>
      <c r="S41">
        <f t="shared" ref="S41:Y41" si="17">S40</f>
        <v>0</v>
      </c>
      <c r="T41">
        <f t="shared" si="17"/>
        <v>0</v>
      </c>
      <c r="U41">
        <f t="shared" si="17"/>
        <v>0</v>
      </c>
      <c r="V41">
        <f t="shared" si="17"/>
        <v>0</v>
      </c>
      <c r="W41">
        <f t="shared" si="17"/>
        <v>0</v>
      </c>
      <c r="X41">
        <f t="shared" si="17"/>
        <v>0</v>
      </c>
      <c r="Y41">
        <f t="shared" si="17"/>
        <v>0</v>
      </c>
    </row>
    <row r="42" spans="2:25" ht="20.5" customHeight="1" x14ac:dyDescent="0.2">
      <c r="B42" s="64" t="str">
        <f>IF($K42="","",INT($K42/10)/1440)</f>
        <v/>
      </c>
      <c r="C42" s="65" t="str">
        <f>IF(L42&gt;0,INDEX(Clases!$E$6:$E$65,L42),IF(L42&lt;0,"2 clases a la vez",""))</f>
        <v/>
      </c>
      <c r="D42" s="65" t="str">
        <f>IF(M42&gt;0,INDEX(Clases!$E$6:$E$65,M42),IF(M42&lt;0,"2 clases a la vez",""))</f>
        <v/>
      </c>
      <c r="E42" s="65" t="str">
        <f>IF(N42&gt;0,INDEX(Clases!$E$6:$E$65,N42),IF(N42&lt;0,"2 clases a la vez",""))</f>
        <v/>
      </c>
      <c r="F42" s="65" t="str">
        <f>IF(O42&gt;0,INDEX(Clases!$E$6:$E$65,O42),IF(O42&lt;0,"2 clases a la vez",""))</f>
        <v/>
      </c>
      <c r="G42" s="65" t="str">
        <f>IF(P42&gt;0,INDEX(Clases!$E$6:$E$65,P42),IF(P42&lt;0,"2 clases a la vez",""))</f>
        <v/>
      </c>
      <c r="H42" s="65" t="str">
        <f>IF(Q42&gt;0,INDEX(Clases!$E$6:$E$65,Q42),IF(Q42&lt;0,"2 clases a la vez",""))</f>
        <v/>
      </c>
      <c r="I42" s="65" t="str">
        <f>IF(R42&gt;0,INDEX(Clases!$E$6:$E$65,R42),IF(R42&lt;0,"2 clases a la vez",""))</f>
        <v/>
      </c>
      <c r="K42" t="str">
        <f>IF(K40="","",IFERROR(SMALL(Clases!$S$6:$S$65,COUNTIF(Clases!$S$6:$S$65,"&lt;="&amp;K40)+1),""))</f>
        <v/>
      </c>
      <c r="L42">
        <f>IF($K42="",0,IF(COUNTIF(Clases!$T$6:$T$65,1*100000+$K42)&gt;1,-1,IFERROR(MATCH(1*100000+$K42,Clases!$T$6:$T$65,0),0)))</f>
        <v>0</v>
      </c>
      <c r="M42">
        <f>IF($K42="",0,IF(COUNTIF(Clases!$T$6:$T$65,2*100000+$K42)&gt;1,-1,IFERROR(MATCH(2*100000+$K42,Clases!$T$6:$T$65,0),0)))</f>
        <v>0</v>
      </c>
      <c r="N42">
        <f>IF($K42="",0,IF(COUNTIF(Clases!$T$6:$T$65,3*100000+$K42)&gt;1,-1,IFERROR(MATCH(3*100000+$K42,Clases!$T$6:$T$65,0),0)))</f>
        <v>0</v>
      </c>
      <c r="O42">
        <f>IF($K42="",0,IF(COUNTIF(Clases!$T$6:$T$65,4*100000+$K42)&gt;1,-1,IFERROR(MATCH(4*100000+$K42,Clases!$T$6:$T$65,0),0)))</f>
        <v>0</v>
      </c>
      <c r="P42">
        <f>IF($K42="",0,IF(COUNTIF(Clases!$T$6:$T$65,5*100000+$K42)&gt;1,-1,IFERROR(MATCH(5*100000+$K42,Clases!$T$6:$T$65,0),0)))</f>
        <v>0</v>
      </c>
      <c r="Q42">
        <f>IF($K42="",0,IF(COUNTIF(Clases!$T$6:$T$65,6*100000+$K42)&gt;1,-1,IFERROR(MATCH(6*100000+$K42,Clases!$T$6:$T$65,0),0)))</f>
        <v>0</v>
      </c>
      <c r="R42">
        <f>IF($K42="",0,IF(COUNTIF(Clases!$T$6:$T$65,7*100000+$K42)&gt;1,-1,IFERROR(MATCH(7*100000+$K42,Clases!$T$6:$T$65,0),0)))</f>
        <v>0</v>
      </c>
      <c r="S42">
        <f>IF(L42&gt;0,N(INDEX(Clases!$U$6:$U$65,L42)),IF(L42&lt;0,13,0))</f>
        <v>0</v>
      </c>
      <c r="T42">
        <f>IF(M42&gt;0,N(INDEX(Clases!$U$6:$U$65,M42)),IF(M42&lt;0,13,0))</f>
        <v>0</v>
      </c>
      <c r="U42">
        <f>IF(N42&gt;0,N(INDEX(Clases!$U$6:$U$65,N42)),IF(N42&lt;0,13,0))</f>
        <v>0</v>
      </c>
      <c r="V42">
        <f>IF(O42&gt;0,N(INDEX(Clases!$U$6:$U$65,O42)),IF(O42&lt;0,13,0))</f>
        <v>0</v>
      </c>
      <c r="W42">
        <f>IF(P42&gt;0,N(INDEX(Clases!$U$6:$U$65,P42)),IF(P42&lt;0,13,0))</f>
        <v>0</v>
      </c>
      <c r="X42">
        <f>IF(Q42&gt;0,N(INDEX(Clases!$U$6:$U$65,Q42)),IF(Q42&lt;0,13,0))</f>
        <v>0</v>
      </c>
      <c r="Y42">
        <f>IF(R42&gt;0,N(INDEX(Clases!$U$6:$U$65,R42)),IF(R42&lt;0,13,0))</f>
        <v>0</v>
      </c>
    </row>
    <row r="43" spans="2:25" ht="16" customHeight="1" x14ac:dyDescent="0.2">
      <c r="B43" s="66" t="str">
        <f>IF($K42="","",IFERROR(INDEX(Configuración!$F$6:$F$11,MOD($K42,10)),""))</f>
        <v/>
      </c>
      <c r="C43" s="67" t="str">
        <f>IF(L42&gt;0,INDEX(Clases!$G$6:$G$65,L42)&amp;IF(AND(INDEX(Clases!$G$6:$G$65,L42)&lt;&gt;"",INDEX(Clases!$J$6:$J$65,L42)&lt;&gt;"")," · ","")&amp;IF(INDEX(Clases!$J$6:$J$65,L42)="","",INDEX(Clases!$J$6:$J$65,L42)&amp;" min"),IF(L42&lt;0,"Revisa la hoja «Clases»",""))</f>
        <v/>
      </c>
      <c r="D43" s="67" t="str">
        <f>IF(M42&gt;0,INDEX(Clases!$G$6:$G$65,M42)&amp;IF(AND(INDEX(Clases!$G$6:$G$65,M42)&lt;&gt;"",INDEX(Clases!$J$6:$J$65,M42)&lt;&gt;"")," · ","")&amp;IF(INDEX(Clases!$J$6:$J$65,M42)="","",INDEX(Clases!$J$6:$J$65,M42)&amp;" min"),IF(M42&lt;0,"Revisa la hoja «Clases»",""))</f>
        <v/>
      </c>
      <c r="E43" s="67" t="str">
        <f>IF(N42&gt;0,INDEX(Clases!$G$6:$G$65,N42)&amp;IF(AND(INDEX(Clases!$G$6:$G$65,N42)&lt;&gt;"",INDEX(Clases!$J$6:$J$65,N42)&lt;&gt;"")," · ","")&amp;IF(INDEX(Clases!$J$6:$J$65,N42)="","",INDEX(Clases!$J$6:$J$65,N42)&amp;" min"),IF(N42&lt;0,"Revisa la hoja «Clases»",""))</f>
        <v/>
      </c>
      <c r="F43" s="67" t="str">
        <f>IF(O42&gt;0,INDEX(Clases!$G$6:$G$65,O42)&amp;IF(AND(INDEX(Clases!$G$6:$G$65,O42)&lt;&gt;"",INDEX(Clases!$J$6:$J$65,O42)&lt;&gt;"")," · ","")&amp;IF(INDEX(Clases!$J$6:$J$65,O42)="","",INDEX(Clases!$J$6:$J$65,O42)&amp;" min"),IF(O42&lt;0,"Revisa la hoja «Clases»",""))</f>
        <v/>
      </c>
      <c r="G43" s="67" t="str">
        <f>IF(P42&gt;0,INDEX(Clases!$G$6:$G$65,P42)&amp;IF(AND(INDEX(Clases!$G$6:$G$65,P42)&lt;&gt;"",INDEX(Clases!$J$6:$J$65,P42)&lt;&gt;"")," · ","")&amp;IF(INDEX(Clases!$J$6:$J$65,P42)="","",INDEX(Clases!$J$6:$J$65,P42)&amp;" min"),IF(P42&lt;0,"Revisa la hoja «Clases»",""))</f>
        <v/>
      </c>
      <c r="H43" s="67" t="str">
        <f>IF(Q42&gt;0,INDEX(Clases!$G$6:$G$65,Q42)&amp;IF(AND(INDEX(Clases!$G$6:$G$65,Q42)&lt;&gt;"",INDEX(Clases!$J$6:$J$65,Q42)&lt;&gt;"")," · ","")&amp;IF(INDEX(Clases!$J$6:$J$65,Q42)="","",INDEX(Clases!$J$6:$J$65,Q42)&amp;" min"),IF(Q42&lt;0,"Revisa la hoja «Clases»",""))</f>
        <v/>
      </c>
      <c r="I43" s="67" t="str">
        <f>IF(R42&gt;0,INDEX(Clases!$G$6:$G$65,R42)&amp;IF(AND(INDEX(Clases!$G$6:$G$65,R42)&lt;&gt;"",INDEX(Clases!$J$6:$J$65,R42)&lt;&gt;"")," · ","")&amp;IF(INDEX(Clases!$J$6:$J$65,R42)="","",INDEX(Clases!$J$6:$J$65,R42)&amp;" min"),IF(R42&lt;0,"Revisa la hoja «Clases»",""))</f>
        <v/>
      </c>
      <c r="S43">
        <f t="shared" ref="S43:Y43" si="18">S42</f>
        <v>0</v>
      </c>
      <c r="T43">
        <f t="shared" si="18"/>
        <v>0</v>
      </c>
      <c r="U43">
        <f t="shared" si="18"/>
        <v>0</v>
      </c>
      <c r="V43">
        <f t="shared" si="18"/>
        <v>0</v>
      </c>
      <c r="W43">
        <f t="shared" si="18"/>
        <v>0</v>
      </c>
      <c r="X43">
        <f t="shared" si="18"/>
        <v>0</v>
      </c>
      <c r="Y43">
        <f t="shared" si="18"/>
        <v>0</v>
      </c>
    </row>
    <row r="44" spans="2:25" ht="20.5" customHeight="1" x14ac:dyDescent="0.2">
      <c r="B44" s="64" t="str">
        <f>IF($K44="","",INT($K44/10)/1440)</f>
        <v/>
      </c>
      <c r="C44" s="65" t="str">
        <f>IF(L44&gt;0,INDEX(Clases!$E$6:$E$65,L44),IF(L44&lt;0,"2 clases a la vez",""))</f>
        <v/>
      </c>
      <c r="D44" s="65" t="str">
        <f>IF(M44&gt;0,INDEX(Clases!$E$6:$E$65,M44),IF(M44&lt;0,"2 clases a la vez",""))</f>
        <v/>
      </c>
      <c r="E44" s="65" t="str">
        <f>IF(N44&gt;0,INDEX(Clases!$E$6:$E$65,N44),IF(N44&lt;0,"2 clases a la vez",""))</f>
        <v/>
      </c>
      <c r="F44" s="65" t="str">
        <f>IF(O44&gt;0,INDEX(Clases!$E$6:$E$65,O44),IF(O44&lt;0,"2 clases a la vez",""))</f>
        <v/>
      </c>
      <c r="G44" s="65" t="str">
        <f>IF(P44&gt;0,INDEX(Clases!$E$6:$E$65,P44),IF(P44&lt;0,"2 clases a la vez",""))</f>
        <v/>
      </c>
      <c r="H44" s="65" t="str">
        <f>IF(Q44&gt;0,INDEX(Clases!$E$6:$E$65,Q44),IF(Q44&lt;0,"2 clases a la vez",""))</f>
        <v/>
      </c>
      <c r="I44" s="65" t="str">
        <f>IF(R44&gt;0,INDEX(Clases!$E$6:$E$65,R44),IF(R44&lt;0,"2 clases a la vez",""))</f>
        <v/>
      </c>
      <c r="K44" t="str">
        <f>IF(K42="","",IFERROR(SMALL(Clases!$S$6:$S$65,COUNTIF(Clases!$S$6:$S$65,"&lt;="&amp;K42)+1),""))</f>
        <v/>
      </c>
      <c r="L44">
        <f>IF($K44="",0,IF(COUNTIF(Clases!$T$6:$T$65,1*100000+$K44)&gt;1,-1,IFERROR(MATCH(1*100000+$K44,Clases!$T$6:$T$65,0),0)))</f>
        <v>0</v>
      </c>
      <c r="M44">
        <f>IF($K44="",0,IF(COUNTIF(Clases!$T$6:$T$65,2*100000+$K44)&gt;1,-1,IFERROR(MATCH(2*100000+$K44,Clases!$T$6:$T$65,0),0)))</f>
        <v>0</v>
      </c>
      <c r="N44">
        <f>IF($K44="",0,IF(COUNTIF(Clases!$T$6:$T$65,3*100000+$K44)&gt;1,-1,IFERROR(MATCH(3*100000+$K44,Clases!$T$6:$T$65,0),0)))</f>
        <v>0</v>
      </c>
      <c r="O44">
        <f>IF($K44="",0,IF(COUNTIF(Clases!$T$6:$T$65,4*100000+$K44)&gt;1,-1,IFERROR(MATCH(4*100000+$K44,Clases!$T$6:$T$65,0),0)))</f>
        <v>0</v>
      </c>
      <c r="P44">
        <f>IF($K44="",0,IF(COUNTIF(Clases!$T$6:$T$65,5*100000+$K44)&gt;1,-1,IFERROR(MATCH(5*100000+$K44,Clases!$T$6:$T$65,0),0)))</f>
        <v>0</v>
      </c>
      <c r="Q44">
        <f>IF($K44="",0,IF(COUNTIF(Clases!$T$6:$T$65,6*100000+$K44)&gt;1,-1,IFERROR(MATCH(6*100000+$K44,Clases!$T$6:$T$65,0),0)))</f>
        <v>0</v>
      </c>
      <c r="R44">
        <f>IF($K44="",0,IF(COUNTIF(Clases!$T$6:$T$65,7*100000+$K44)&gt;1,-1,IFERROR(MATCH(7*100000+$K44,Clases!$T$6:$T$65,0),0)))</f>
        <v>0</v>
      </c>
      <c r="S44">
        <f>IF(L44&gt;0,N(INDEX(Clases!$U$6:$U$65,L44)),IF(L44&lt;0,13,0))</f>
        <v>0</v>
      </c>
      <c r="T44">
        <f>IF(M44&gt;0,N(INDEX(Clases!$U$6:$U$65,M44)),IF(M44&lt;0,13,0))</f>
        <v>0</v>
      </c>
      <c r="U44">
        <f>IF(N44&gt;0,N(INDEX(Clases!$U$6:$U$65,N44)),IF(N44&lt;0,13,0))</f>
        <v>0</v>
      </c>
      <c r="V44">
        <f>IF(O44&gt;0,N(INDEX(Clases!$U$6:$U$65,O44)),IF(O44&lt;0,13,0))</f>
        <v>0</v>
      </c>
      <c r="W44">
        <f>IF(P44&gt;0,N(INDEX(Clases!$U$6:$U$65,P44)),IF(P44&lt;0,13,0))</f>
        <v>0</v>
      </c>
      <c r="X44">
        <f>IF(Q44&gt;0,N(INDEX(Clases!$U$6:$U$65,Q44)),IF(Q44&lt;0,13,0))</f>
        <v>0</v>
      </c>
      <c r="Y44">
        <f>IF(R44&gt;0,N(INDEX(Clases!$U$6:$U$65,R44)),IF(R44&lt;0,13,0))</f>
        <v>0</v>
      </c>
    </row>
    <row r="45" spans="2:25" ht="16" customHeight="1" x14ac:dyDescent="0.2">
      <c r="B45" s="66" t="str">
        <f>IF($K44="","",IFERROR(INDEX(Configuración!$F$6:$F$11,MOD($K44,10)),""))</f>
        <v/>
      </c>
      <c r="C45" s="67" t="str">
        <f>IF(L44&gt;0,INDEX(Clases!$G$6:$G$65,L44)&amp;IF(AND(INDEX(Clases!$G$6:$G$65,L44)&lt;&gt;"",INDEX(Clases!$J$6:$J$65,L44)&lt;&gt;"")," · ","")&amp;IF(INDEX(Clases!$J$6:$J$65,L44)="","",INDEX(Clases!$J$6:$J$65,L44)&amp;" min"),IF(L44&lt;0,"Revisa la hoja «Clases»",""))</f>
        <v/>
      </c>
      <c r="D45" s="67" t="str">
        <f>IF(M44&gt;0,INDEX(Clases!$G$6:$G$65,M44)&amp;IF(AND(INDEX(Clases!$G$6:$G$65,M44)&lt;&gt;"",INDEX(Clases!$J$6:$J$65,M44)&lt;&gt;"")," · ","")&amp;IF(INDEX(Clases!$J$6:$J$65,M44)="","",INDEX(Clases!$J$6:$J$65,M44)&amp;" min"),IF(M44&lt;0,"Revisa la hoja «Clases»",""))</f>
        <v/>
      </c>
      <c r="E45" s="67" t="str">
        <f>IF(N44&gt;0,INDEX(Clases!$G$6:$G$65,N44)&amp;IF(AND(INDEX(Clases!$G$6:$G$65,N44)&lt;&gt;"",INDEX(Clases!$J$6:$J$65,N44)&lt;&gt;"")," · ","")&amp;IF(INDEX(Clases!$J$6:$J$65,N44)="","",INDEX(Clases!$J$6:$J$65,N44)&amp;" min"),IF(N44&lt;0,"Revisa la hoja «Clases»",""))</f>
        <v/>
      </c>
      <c r="F45" s="67" t="str">
        <f>IF(O44&gt;0,INDEX(Clases!$G$6:$G$65,O44)&amp;IF(AND(INDEX(Clases!$G$6:$G$65,O44)&lt;&gt;"",INDEX(Clases!$J$6:$J$65,O44)&lt;&gt;"")," · ","")&amp;IF(INDEX(Clases!$J$6:$J$65,O44)="","",INDEX(Clases!$J$6:$J$65,O44)&amp;" min"),IF(O44&lt;0,"Revisa la hoja «Clases»",""))</f>
        <v/>
      </c>
      <c r="G45" s="67" t="str">
        <f>IF(P44&gt;0,INDEX(Clases!$G$6:$G$65,P44)&amp;IF(AND(INDEX(Clases!$G$6:$G$65,P44)&lt;&gt;"",INDEX(Clases!$J$6:$J$65,P44)&lt;&gt;"")," · ","")&amp;IF(INDEX(Clases!$J$6:$J$65,P44)="","",INDEX(Clases!$J$6:$J$65,P44)&amp;" min"),IF(P44&lt;0,"Revisa la hoja «Clases»",""))</f>
        <v/>
      </c>
      <c r="H45" s="67" t="str">
        <f>IF(Q44&gt;0,INDEX(Clases!$G$6:$G$65,Q44)&amp;IF(AND(INDEX(Clases!$G$6:$G$65,Q44)&lt;&gt;"",INDEX(Clases!$J$6:$J$65,Q44)&lt;&gt;"")," · ","")&amp;IF(INDEX(Clases!$J$6:$J$65,Q44)="","",INDEX(Clases!$J$6:$J$65,Q44)&amp;" min"),IF(Q44&lt;0,"Revisa la hoja «Clases»",""))</f>
        <v/>
      </c>
      <c r="I45" s="67" t="str">
        <f>IF(R44&gt;0,INDEX(Clases!$G$6:$G$65,R44)&amp;IF(AND(INDEX(Clases!$G$6:$G$65,R44)&lt;&gt;"",INDEX(Clases!$J$6:$J$65,R44)&lt;&gt;"")," · ","")&amp;IF(INDEX(Clases!$J$6:$J$65,R44)="","",INDEX(Clases!$J$6:$J$65,R44)&amp;" min"),IF(R44&lt;0,"Revisa la hoja «Clases»",""))</f>
        <v/>
      </c>
      <c r="S45">
        <f t="shared" ref="S45:Y45" si="19">S44</f>
        <v>0</v>
      </c>
      <c r="T45">
        <f t="shared" si="19"/>
        <v>0</v>
      </c>
      <c r="U45">
        <f t="shared" si="19"/>
        <v>0</v>
      </c>
      <c r="V45">
        <f t="shared" si="19"/>
        <v>0</v>
      </c>
      <c r="W45">
        <f t="shared" si="19"/>
        <v>0</v>
      </c>
      <c r="X45">
        <f t="shared" si="19"/>
        <v>0</v>
      </c>
      <c r="Y45">
        <f t="shared" si="19"/>
        <v>0</v>
      </c>
    </row>
    <row r="46" spans="2:25" ht="20.5" customHeight="1" x14ac:dyDescent="0.2">
      <c r="B46" s="64" t="str">
        <f>IF($K46="","",INT($K46/10)/1440)</f>
        <v/>
      </c>
      <c r="C46" s="65" t="str">
        <f>IF(L46&gt;0,INDEX(Clases!$E$6:$E$65,L46),IF(L46&lt;0,"2 clases a la vez",""))</f>
        <v/>
      </c>
      <c r="D46" s="65" t="str">
        <f>IF(M46&gt;0,INDEX(Clases!$E$6:$E$65,M46),IF(M46&lt;0,"2 clases a la vez",""))</f>
        <v/>
      </c>
      <c r="E46" s="65" t="str">
        <f>IF(N46&gt;0,INDEX(Clases!$E$6:$E$65,N46),IF(N46&lt;0,"2 clases a la vez",""))</f>
        <v/>
      </c>
      <c r="F46" s="65" t="str">
        <f>IF(O46&gt;0,INDEX(Clases!$E$6:$E$65,O46),IF(O46&lt;0,"2 clases a la vez",""))</f>
        <v/>
      </c>
      <c r="G46" s="65" t="str">
        <f>IF(P46&gt;0,INDEX(Clases!$E$6:$E$65,P46),IF(P46&lt;0,"2 clases a la vez",""))</f>
        <v/>
      </c>
      <c r="H46" s="65" t="str">
        <f>IF(Q46&gt;0,INDEX(Clases!$E$6:$E$65,Q46),IF(Q46&lt;0,"2 clases a la vez",""))</f>
        <v/>
      </c>
      <c r="I46" s="65" t="str">
        <f>IF(R46&gt;0,INDEX(Clases!$E$6:$E$65,R46),IF(R46&lt;0,"2 clases a la vez",""))</f>
        <v/>
      </c>
      <c r="K46" t="str">
        <f>IF(K44="","",IFERROR(SMALL(Clases!$S$6:$S$65,COUNTIF(Clases!$S$6:$S$65,"&lt;="&amp;K44)+1),""))</f>
        <v/>
      </c>
      <c r="L46">
        <f>IF($K46="",0,IF(COUNTIF(Clases!$T$6:$T$65,1*100000+$K46)&gt;1,-1,IFERROR(MATCH(1*100000+$K46,Clases!$T$6:$T$65,0),0)))</f>
        <v>0</v>
      </c>
      <c r="M46">
        <f>IF($K46="",0,IF(COUNTIF(Clases!$T$6:$T$65,2*100000+$K46)&gt;1,-1,IFERROR(MATCH(2*100000+$K46,Clases!$T$6:$T$65,0),0)))</f>
        <v>0</v>
      </c>
      <c r="N46">
        <f>IF($K46="",0,IF(COUNTIF(Clases!$T$6:$T$65,3*100000+$K46)&gt;1,-1,IFERROR(MATCH(3*100000+$K46,Clases!$T$6:$T$65,0),0)))</f>
        <v>0</v>
      </c>
      <c r="O46">
        <f>IF($K46="",0,IF(COUNTIF(Clases!$T$6:$T$65,4*100000+$K46)&gt;1,-1,IFERROR(MATCH(4*100000+$K46,Clases!$T$6:$T$65,0),0)))</f>
        <v>0</v>
      </c>
      <c r="P46">
        <f>IF($K46="",0,IF(COUNTIF(Clases!$T$6:$T$65,5*100000+$K46)&gt;1,-1,IFERROR(MATCH(5*100000+$K46,Clases!$T$6:$T$65,0),0)))</f>
        <v>0</v>
      </c>
      <c r="Q46">
        <f>IF($K46="",0,IF(COUNTIF(Clases!$T$6:$T$65,6*100000+$K46)&gt;1,-1,IFERROR(MATCH(6*100000+$K46,Clases!$T$6:$T$65,0),0)))</f>
        <v>0</v>
      </c>
      <c r="R46">
        <f>IF($K46="",0,IF(COUNTIF(Clases!$T$6:$T$65,7*100000+$K46)&gt;1,-1,IFERROR(MATCH(7*100000+$K46,Clases!$T$6:$T$65,0),0)))</f>
        <v>0</v>
      </c>
      <c r="S46">
        <f>IF(L46&gt;0,N(INDEX(Clases!$U$6:$U$65,L46)),IF(L46&lt;0,13,0))</f>
        <v>0</v>
      </c>
      <c r="T46">
        <f>IF(M46&gt;0,N(INDEX(Clases!$U$6:$U$65,M46)),IF(M46&lt;0,13,0))</f>
        <v>0</v>
      </c>
      <c r="U46">
        <f>IF(N46&gt;0,N(INDEX(Clases!$U$6:$U$65,N46)),IF(N46&lt;0,13,0))</f>
        <v>0</v>
      </c>
      <c r="V46">
        <f>IF(O46&gt;0,N(INDEX(Clases!$U$6:$U$65,O46)),IF(O46&lt;0,13,0))</f>
        <v>0</v>
      </c>
      <c r="W46">
        <f>IF(P46&gt;0,N(INDEX(Clases!$U$6:$U$65,P46)),IF(P46&lt;0,13,0))</f>
        <v>0</v>
      </c>
      <c r="X46">
        <f>IF(Q46&gt;0,N(INDEX(Clases!$U$6:$U$65,Q46)),IF(Q46&lt;0,13,0))</f>
        <v>0</v>
      </c>
      <c r="Y46">
        <f>IF(R46&gt;0,N(INDEX(Clases!$U$6:$U$65,R46)),IF(R46&lt;0,13,0))</f>
        <v>0</v>
      </c>
    </row>
    <row r="47" spans="2:25" ht="16" customHeight="1" x14ac:dyDescent="0.2">
      <c r="B47" s="66" t="str">
        <f>IF($K46="","",IFERROR(INDEX(Configuración!$F$6:$F$11,MOD($K46,10)),""))</f>
        <v/>
      </c>
      <c r="C47" s="67" t="str">
        <f>IF(L46&gt;0,INDEX(Clases!$G$6:$G$65,L46)&amp;IF(AND(INDEX(Clases!$G$6:$G$65,L46)&lt;&gt;"",INDEX(Clases!$J$6:$J$65,L46)&lt;&gt;"")," · ","")&amp;IF(INDEX(Clases!$J$6:$J$65,L46)="","",INDEX(Clases!$J$6:$J$65,L46)&amp;" min"),IF(L46&lt;0,"Revisa la hoja «Clases»",""))</f>
        <v/>
      </c>
      <c r="D47" s="67" t="str">
        <f>IF(M46&gt;0,INDEX(Clases!$G$6:$G$65,M46)&amp;IF(AND(INDEX(Clases!$G$6:$G$65,M46)&lt;&gt;"",INDEX(Clases!$J$6:$J$65,M46)&lt;&gt;"")," · ","")&amp;IF(INDEX(Clases!$J$6:$J$65,M46)="","",INDEX(Clases!$J$6:$J$65,M46)&amp;" min"),IF(M46&lt;0,"Revisa la hoja «Clases»",""))</f>
        <v/>
      </c>
      <c r="E47" s="67" t="str">
        <f>IF(N46&gt;0,INDEX(Clases!$G$6:$G$65,N46)&amp;IF(AND(INDEX(Clases!$G$6:$G$65,N46)&lt;&gt;"",INDEX(Clases!$J$6:$J$65,N46)&lt;&gt;"")," · ","")&amp;IF(INDEX(Clases!$J$6:$J$65,N46)="","",INDEX(Clases!$J$6:$J$65,N46)&amp;" min"),IF(N46&lt;0,"Revisa la hoja «Clases»",""))</f>
        <v/>
      </c>
      <c r="F47" s="67" t="str">
        <f>IF(O46&gt;0,INDEX(Clases!$G$6:$G$65,O46)&amp;IF(AND(INDEX(Clases!$G$6:$G$65,O46)&lt;&gt;"",INDEX(Clases!$J$6:$J$65,O46)&lt;&gt;"")," · ","")&amp;IF(INDEX(Clases!$J$6:$J$65,O46)="","",INDEX(Clases!$J$6:$J$65,O46)&amp;" min"),IF(O46&lt;0,"Revisa la hoja «Clases»",""))</f>
        <v/>
      </c>
      <c r="G47" s="67" t="str">
        <f>IF(P46&gt;0,INDEX(Clases!$G$6:$G$65,P46)&amp;IF(AND(INDEX(Clases!$G$6:$G$65,P46)&lt;&gt;"",INDEX(Clases!$J$6:$J$65,P46)&lt;&gt;"")," · ","")&amp;IF(INDEX(Clases!$J$6:$J$65,P46)="","",INDEX(Clases!$J$6:$J$65,P46)&amp;" min"),IF(P46&lt;0,"Revisa la hoja «Clases»",""))</f>
        <v/>
      </c>
      <c r="H47" s="67" t="str">
        <f>IF(Q46&gt;0,INDEX(Clases!$G$6:$G$65,Q46)&amp;IF(AND(INDEX(Clases!$G$6:$G$65,Q46)&lt;&gt;"",INDEX(Clases!$J$6:$J$65,Q46)&lt;&gt;"")," · ","")&amp;IF(INDEX(Clases!$J$6:$J$65,Q46)="","",INDEX(Clases!$J$6:$J$65,Q46)&amp;" min"),IF(Q46&lt;0,"Revisa la hoja «Clases»",""))</f>
        <v/>
      </c>
      <c r="I47" s="67" t="str">
        <f>IF(R46&gt;0,INDEX(Clases!$G$6:$G$65,R46)&amp;IF(AND(INDEX(Clases!$G$6:$G$65,R46)&lt;&gt;"",INDEX(Clases!$J$6:$J$65,R46)&lt;&gt;"")," · ","")&amp;IF(INDEX(Clases!$J$6:$J$65,R46)="","",INDEX(Clases!$J$6:$J$65,R46)&amp;" min"),IF(R46&lt;0,"Revisa la hoja «Clases»",""))</f>
        <v/>
      </c>
      <c r="S47">
        <f t="shared" ref="S47:Y47" si="20">S46</f>
        <v>0</v>
      </c>
      <c r="T47">
        <f t="shared" si="20"/>
        <v>0</v>
      </c>
      <c r="U47">
        <f t="shared" si="20"/>
        <v>0</v>
      </c>
      <c r="V47">
        <f t="shared" si="20"/>
        <v>0</v>
      </c>
      <c r="W47">
        <f t="shared" si="20"/>
        <v>0</v>
      </c>
      <c r="X47">
        <f t="shared" si="20"/>
        <v>0</v>
      </c>
      <c r="Y47">
        <f t="shared" si="20"/>
        <v>0</v>
      </c>
    </row>
    <row r="48" spans="2:25" ht="20.5" customHeight="1" x14ac:dyDescent="0.2">
      <c r="B48" s="64" t="str">
        <f>IF($K48="","",INT($K48/10)/1440)</f>
        <v/>
      </c>
      <c r="C48" s="65" t="str">
        <f>IF(L48&gt;0,INDEX(Clases!$E$6:$E$65,L48),IF(L48&lt;0,"2 clases a la vez",""))</f>
        <v/>
      </c>
      <c r="D48" s="65" t="str">
        <f>IF(M48&gt;0,INDEX(Clases!$E$6:$E$65,M48),IF(M48&lt;0,"2 clases a la vez",""))</f>
        <v/>
      </c>
      <c r="E48" s="65" t="str">
        <f>IF(N48&gt;0,INDEX(Clases!$E$6:$E$65,N48),IF(N48&lt;0,"2 clases a la vez",""))</f>
        <v/>
      </c>
      <c r="F48" s="65" t="str">
        <f>IF(O48&gt;0,INDEX(Clases!$E$6:$E$65,O48),IF(O48&lt;0,"2 clases a la vez",""))</f>
        <v/>
      </c>
      <c r="G48" s="65" t="str">
        <f>IF(P48&gt;0,INDEX(Clases!$E$6:$E$65,P48),IF(P48&lt;0,"2 clases a la vez",""))</f>
        <v/>
      </c>
      <c r="H48" s="65" t="str">
        <f>IF(Q48&gt;0,INDEX(Clases!$E$6:$E$65,Q48),IF(Q48&lt;0,"2 clases a la vez",""))</f>
        <v/>
      </c>
      <c r="I48" s="65" t="str">
        <f>IF(R48&gt;0,INDEX(Clases!$E$6:$E$65,R48),IF(R48&lt;0,"2 clases a la vez",""))</f>
        <v/>
      </c>
      <c r="K48" t="str">
        <f>IF(K46="","",IFERROR(SMALL(Clases!$S$6:$S$65,COUNTIF(Clases!$S$6:$S$65,"&lt;="&amp;K46)+1),""))</f>
        <v/>
      </c>
      <c r="L48">
        <f>IF($K48="",0,IF(COUNTIF(Clases!$T$6:$T$65,1*100000+$K48)&gt;1,-1,IFERROR(MATCH(1*100000+$K48,Clases!$T$6:$T$65,0),0)))</f>
        <v>0</v>
      </c>
      <c r="M48">
        <f>IF($K48="",0,IF(COUNTIF(Clases!$T$6:$T$65,2*100000+$K48)&gt;1,-1,IFERROR(MATCH(2*100000+$K48,Clases!$T$6:$T$65,0),0)))</f>
        <v>0</v>
      </c>
      <c r="N48">
        <f>IF($K48="",0,IF(COUNTIF(Clases!$T$6:$T$65,3*100000+$K48)&gt;1,-1,IFERROR(MATCH(3*100000+$K48,Clases!$T$6:$T$65,0),0)))</f>
        <v>0</v>
      </c>
      <c r="O48">
        <f>IF($K48="",0,IF(COUNTIF(Clases!$T$6:$T$65,4*100000+$K48)&gt;1,-1,IFERROR(MATCH(4*100000+$K48,Clases!$T$6:$T$65,0),0)))</f>
        <v>0</v>
      </c>
      <c r="P48">
        <f>IF($K48="",0,IF(COUNTIF(Clases!$T$6:$T$65,5*100000+$K48)&gt;1,-1,IFERROR(MATCH(5*100000+$K48,Clases!$T$6:$T$65,0),0)))</f>
        <v>0</v>
      </c>
      <c r="Q48">
        <f>IF($K48="",0,IF(COUNTIF(Clases!$T$6:$T$65,6*100000+$K48)&gt;1,-1,IFERROR(MATCH(6*100000+$K48,Clases!$T$6:$T$65,0),0)))</f>
        <v>0</v>
      </c>
      <c r="R48">
        <f>IF($K48="",0,IF(COUNTIF(Clases!$T$6:$T$65,7*100000+$K48)&gt;1,-1,IFERROR(MATCH(7*100000+$K48,Clases!$T$6:$T$65,0),0)))</f>
        <v>0</v>
      </c>
      <c r="S48">
        <f>IF(L48&gt;0,N(INDEX(Clases!$U$6:$U$65,L48)),IF(L48&lt;0,13,0))</f>
        <v>0</v>
      </c>
      <c r="T48">
        <f>IF(M48&gt;0,N(INDEX(Clases!$U$6:$U$65,M48)),IF(M48&lt;0,13,0))</f>
        <v>0</v>
      </c>
      <c r="U48">
        <f>IF(N48&gt;0,N(INDEX(Clases!$U$6:$U$65,N48)),IF(N48&lt;0,13,0))</f>
        <v>0</v>
      </c>
      <c r="V48">
        <f>IF(O48&gt;0,N(INDEX(Clases!$U$6:$U$65,O48)),IF(O48&lt;0,13,0))</f>
        <v>0</v>
      </c>
      <c r="W48">
        <f>IF(P48&gt;0,N(INDEX(Clases!$U$6:$U$65,P48)),IF(P48&lt;0,13,0))</f>
        <v>0</v>
      </c>
      <c r="X48">
        <f>IF(Q48&gt;0,N(INDEX(Clases!$U$6:$U$65,Q48)),IF(Q48&lt;0,13,0))</f>
        <v>0</v>
      </c>
      <c r="Y48">
        <f>IF(R48&gt;0,N(INDEX(Clases!$U$6:$U$65,R48)),IF(R48&lt;0,13,0))</f>
        <v>0</v>
      </c>
    </row>
    <row r="49" spans="2:25" ht="16" customHeight="1" x14ac:dyDescent="0.2">
      <c r="B49" s="66" t="str">
        <f>IF($K48="","",IFERROR(INDEX(Configuración!$F$6:$F$11,MOD($K48,10)),""))</f>
        <v/>
      </c>
      <c r="C49" s="67" t="str">
        <f>IF(L48&gt;0,INDEX(Clases!$G$6:$G$65,L48)&amp;IF(AND(INDEX(Clases!$G$6:$G$65,L48)&lt;&gt;"",INDEX(Clases!$J$6:$J$65,L48)&lt;&gt;"")," · ","")&amp;IF(INDEX(Clases!$J$6:$J$65,L48)="","",INDEX(Clases!$J$6:$J$65,L48)&amp;" min"),IF(L48&lt;0,"Revisa la hoja «Clases»",""))</f>
        <v/>
      </c>
      <c r="D49" s="67" t="str">
        <f>IF(M48&gt;0,INDEX(Clases!$G$6:$G$65,M48)&amp;IF(AND(INDEX(Clases!$G$6:$G$65,M48)&lt;&gt;"",INDEX(Clases!$J$6:$J$65,M48)&lt;&gt;"")," · ","")&amp;IF(INDEX(Clases!$J$6:$J$65,M48)="","",INDEX(Clases!$J$6:$J$65,M48)&amp;" min"),IF(M48&lt;0,"Revisa la hoja «Clases»",""))</f>
        <v/>
      </c>
      <c r="E49" s="67" t="str">
        <f>IF(N48&gt;0,INDEX(Clases!$G$6:$G$65,N48)&amp;IF(AND(INDEX(Clases!$G$6:$G$65,N48)&lt;&gt;"",INDEX(Clases!$J$6:$J$65,N48)&lt;&gt;"")," · ","")&amp;IF(INDEX(Clases!$J$6:$J$65,N48)="","",INDEX(Clases!$J$6:$J$65,N48)&amp;" min"),IF(N48&lt;0,"Revisa la hoja «Clases»",""))</f>
        <v/>
      </c>
      <c r="F49" s="67" t="str">
        <f>IF(O48&gt;0,INDEX(Clases!$G$6:$G$65,O48)&amp;IF(AND(INDEX(Clases!$G$6:$G$65,O48)&lt;&gt;"",INDEX(Clases!$J$6:$J$65,O48)&lt;&gt;"")," · ","")&amp;IF(INDEX(Clases!$J$6:$J$65,O48)="","",INDEX(Clases!$J$6:$J$65,O48)&amp;" min"),IF(O48&lt;0,"Revisa la hoja «Clases»",""))</f>
        <v/>
      </c>
      <c r="G49" s="67" t="str">
        <f>IF(P48&gt;0,INDEX(Clases!$G$6:$G$65,P48)&amp;IF(AND(INDEX(Clases!$G$6:$G$65,P48)&lt;&gt;"",INDEX(Clases!$J$6:$J$65,P48)&lt;&gt;"")," · ","")&amp;IF(INDEX(Clases!$J$6:$J$65,P48)="","",INDEX(Clases!$J$6:$J$65,P48)&amp;" min"),IF(P48&lt;0,"Revisa la hoja «Clases»",""))</f>
        <v/>
      </c>
      <c r="H49" s="67" t="str">
        <f>IF(Q48&gt;0,INDEX(Clases!$G$6:$G$65,Q48)&amp;IF(AND(INDEX(Clases!$G$6:$G$65,Q48)&lt;&gt;"",INDEX(Clases!$J$6:$J$65,Q48)&lt;&gt;"")," · ","")&amp;IF(INDEX(Clases!$J$6:$J$65,Q48)="","",INDEX(Clases!$J$6:$J$65,Q48)&amp;" min"),IF(Q48&lt;0,"Revisa la hoja «Clases»",""))</f>
        <v/>
      </c>
      <c r="I49" s="67" t="str">
        <f>IF(R48&gt;0,INDEX(Clases!$G$6:$G$65,R48)&amp;IF(AND(INDEX(Clases!$G$6:$G$65,R48)&lt;&gt;"",INDEX(Clases!$J$6:$J$65,R48)&lt;&gt;"")," · ","")&amp;IF(INDEX(Clases!$J$6:$J$65,R48)="","",INDEX(Clases!$J$6:$J$65,R48)&amp;" min"),IF(R48&lt;0,"Revisa la hoja «Clases»",""))</f>
        <v/>
      </c>
      <c r="S49">
        <f t="shared" ref="S49:Y49" si="21">S48</f>
        <v>0</v>
      </c>
      <c r="T49">
        <f t="shared" si="21"/>
        <v>0</v>
      </c>
      <c r="U49">
        <f t="shared" si="21"/>
        <v>0</v>
      </c>
      <c r="V49">
        <f t="shared" si="21"/>
        <v>0</v>
      </c>
      <c r="W49">
        <f t="shared" si="21"/>
        <v>0</v>
      </c>
      <c r="X49">
        <f t="shared" si="21"/>
        <v>0</v>
      </c>
      <c r="Y49">
        <f t="shared" si="21"/>
        <v>0</v>
      </c>
    </row>
    <row r="50" spans="2:25" ht="20.5" customHeight="1" x14ac:dyDescent="0.2">
      <c r="B50" s="64" t="str">
        <f>IF($K50="","",INT($K50/10)/1440)</f>
        <v/>
      </c>
      <c r="C50" s="65" t="str">
        <f>IF(L50&gt;0,INDEX(Clases!$E$6:$E$65,L50),IF(L50&lt;0,"2 clases a la vez",""))</f>
        <v/>
      </c>
      <c r="D50" s="65" t="str">
        <f>IF(M50&gt;0,INDEX(Clases!$E$6:$E$65,M50),IF(M50&lt;0,"2 clases a la vez",""))</f>
        <v/>
      </c>
      <c r="E50" s="65" t="str">
        <f>IF(N50&gt;0,INDEX(Clases!$E$6:$E$65,N50),IF(N50&lt;0,"2 clases a la vez",""))</f>
        <v/>
      </c>
      <c r="F50" s="65" t="str">
        <f>IF(O50&gt;0,INDEX(Clases!$E$6:$E$65,O50),IF(O50&lt;0,"2 clases a la vez",""))</f>
        <v/>
      </c>
      <c r="G50" s="65" t="str">
        <f>IF(P50&gt;0,INDEX(Clases!$E$6:$E$65,P50),IF(P50&lt;0,"2 clases a la vez",""))</f>
        <v/>
      </c>
      <c r="H50" s="65" t="str">
        <f>IF(Q50&gt;0,INDEX(Clases!$E$6:$E$65,Q50),IF(Q50&lt;0,"2 clases a la vez",""))</f>
        <v/>
      </c>
      <c r="I50" s="65" t="str">
        <f>IF(R50&gt;0,INDEX(Clases!$E$6:$E$65,R50),IF(R50&lt;0,"2 clases a la vez",""))</f>
        <v/>
      </c>
      <c r="K50" t="str">
        <f>IF(K48="","",IFERROR(SMALL(Clases!$S$6:$S$65,COUNTIF(Clases!$S$6:$S$65,"&lt;="&amp;K48)+1),""))</f>
        <v/>
      </c>
      <c r="L50">
        <f>IF($K50="",0,IF(COUNTIF(Clases!$T$6:$T$65,1*100000+$K50)&gt;1,-1,IFERROR(MATCH(1*100000+$K50,Clases!$T$6:$T$65,0),0)))</f>
        <v>0</v>
      </c>
      <c r="M50">
        <f>IF($K50="",0,IF(COUNTIF(Clases!$T$6:$T$65,2*100000+$K50)&gt;1,-1,IFERROR(MATCH(2*100000+$K50,Clases!$T$6:$T$65,0),0)))</f>
        <v>0</v>
      </c>
      <c r="N50">
        <f>IF($K50="",0,IF(COUNTIF(Clases!$T$6:$T$65,3*100000+$K50)&gt;1,-1,IFERROR(MATCH(3*100000+$K50,Clases!$T$6:$T$65,0),0)))</f>
        <v>0</v>
      </c>
      <c r="O50">
        <f>IF($K50="",0,IF(COUNTIF(Clases!$T$6:$T$65,4*100000+$K50)&gt;1,-1,IFERROR(MATCH(4*100000+$K50,Clases!$T$6:$T$65,0),0)))</f>
        <v>0</v>
      </c>
      <c r="P50">
        <f>IF($K50="",0,IF(COUNTIF(Clases!$T$6:$T$65,5*100000+$K50)&gt;1,-1,IFERROR(MATCH(5*100000+$K50,Clases!$T$6:$T$65,0),0)))</f>
        <v>0</v>
      </c>
      <c r="Q50">
        <f>IF($K50="",0,IF(COUNTIF(Clases!$T$6:$T$65,6*100000+$K50)&gt;1,-1,IFERROR(MATCH(6*100000+$K50,Clases!$T$6:$T$65,0),0)))</f>
        <v>0</v>
      </c>
      <c r="R50">
        <f>IF($K50="",0,IF(COUNTIF(Clases!$T$6:$T$65,7*100000+$K50)&gt;1,-1,IFERROR(MATCH(7*100000+$K50,Clases!$T$6:$T$65,0),0)))</f>
        <v>0</v>
      </c>
      <c r="S50">
        <f>IF(L50&gt;0,N(INDEX(Clases!$U$6:$U$65,L50)),IF(L50&lt;0,13,0))</f>
        <v>0</v>
      </c>
      <c r="T50">
        <f>IF(M50&gt;0,N(INDEX(Clases!$U$6:$U$65,M50)),IF(M50&lt;0,13,0))</f>
        <v>0</v>
      </c>
      <c r="U50">
        <f>IF(N50&gt;0,N(INDEX(Clases!$U$6:$U$65,N50)),IF(N50&lt;0,13,0))</f>
        <v>0</v>
      </c>
      <c r="V50">
        <f>IF(O50&gt;0,N(INDEX(Clases!$U$6:$U$65,O50)),IF(O50&lt;0,13,0))</f>
        <v>0</v>
      </c>
      <c r="W50">
        <f>IF(P50&gt;0,N(INDEX(Clases!$U$6:$U$65,P50)),IF(P50&lt;0,13,0))</f>
        <v>0</v>
      </c>
      <c r="X50">
        <f>IF(Q50&gt;0,N(INDEX(Clases!$U$6:$U$65,Q50)),IF(Q50&lt;0,13,0))</f>
        <v>0</v>
      </c>
      <c r="Y50">
        <f>IF(R50&gt;0,N(INDEX(Clases!$U$6:$U$65,R50)),IF(R50&lt;0,13,0))</f>
        <v>0</v>
      </c>
    </row>
    <row r="51" spans="2:25" ht="16" customHeight="1" x14ac:dyDescent="0.2">
      <c r="B51" s="66" t="str">
        <f>IF($K50="","",IFERROR(INDEX(Configuración!$F$6:$F$11,MOD($K50,10)),""))</f>
        <v/>
      </c>
      <c r="C51" s="67" t="str">
        <f>IF(L50&gt;0,INDEX(Clases!$G$6:$G$65,L50)&amp;IF(AND(INDEX(Clases!$G$6:$G$65,L50)&lt;&gt;"",INDEX(Clases!$J$6:$J$65,L50)&lt;&gt;"")," · ","")&amp;IF(INDEX(Clases!$J$6:$J$65,L50)="","",INDEX(Clases!$J$6:$J$65,L50)&amp;" min"),IF(L50&lt;0,"Revisa la hoja «Clases»",""))</f>
        <v/>
      </c>
      <c r="D51" s="67" t="str">
        <f>IF(M50&gt;0,INDEX(Clases!$G$6:$G$65,M50)&amp;IF(AND(INDEX(Clases!$G$6:$G$65,M50)&lt;&gt;"",INDEX(Clases!$J$6:$J$65,M50)&lt;&gt;"")," · ","")&amp;IF(INDEX(Clases!$J$6:$J$65,M50)="","",INDEX(Clases!$J$6:$J$65,M50)&amp;" min"),IF(M50&lt;0,"Revisa la hoja «Clases»",""))</f>
        <v/>
      </c>
      <c r="E51" s="67" t="str">
        <f>IF(N50&gt;0,INDEX(Clases!$G$6:$G$65,N50)&amp;IF(AND(INDEX(Clases!$G$6:$G$65,N50)&lt;&gt;"",INDEX(Clases!$J$6:$J$65,N50)&lt;&gt;"")," · ","")&amp;IF(INDEX(Clases!$J$6:$J$65,N50)="","",INDEX(Clases!$J$6:$J$65,N50)&amp;" min"),IF(N50&lt;0,"Revisa la hoja «Clases»",""))</f>
        <v/>
      </c>
      <c r="F51" s="67" t="str">
        <f>IF(O50&gt;0,INDEX(Clases!$G$6:$G$65,O50)&amp;IF(AND(INDEX(Clases!$G$6:$G$65,O50)&lt;&gt;"",INDEX(Clases!$J$6:$J$65,O50)&lt;&gt;"")," · ","")&amp;IF(INDEX(Clases!$J$6:$J$65,O50)="","",INDEX(Clases!$J$6:$J$65,O50)&amp;" min"),IF(O50&lt;0,"Revisa la hoja «Clases»",""))</f>
        <v/>
      </c>
      <c r="G51" s="67" t="str">
        <f>IF(P50&gt;0,INDEX(Clases!$G$6:$G$65,P50)&amp;IF(AND(INDEX(Clases!$G$6:$G$65,P50)&lt;&gt;"",INDEX(Clases!$J$6:$J$65,P50)&lt;&gt;"")," · ","")&amp;IF(INDEX(Clases!$J$6:$J$65,P50)="","",INDEX(Clases!$J$6:$J$65,P50)&amp;" min"),IF(P50&lt;0,"Revisa la hoja «Clases»",""))</f>
        <v/>
      </c>
      <c r="H51" s="67" t="str">
        <f>IF(Q50&gt;0,INDEX(Clases!$G$6:$G$65,Q50)&amp;IF(AND(INDEX(Clases!$G$6:$G$65,Q50)&lt;&gt;"",INDEX(Clases!$J$6:$J$65,Q50)&lt;&gt;"")," · ","")&amp;IF(INDEX(Clases!$J$6:$J$65,Q50)="","",INDEX(Clases!$J$6:$J$65,Q50)&amp;" min"),IF(Q50&lt;0,"Revisa la hoja «Clases»",""))</f>
        <v/>
      </c>
      <c r="I51" s="67" t="str">
        <f>IF(R50&gt;0,INDEX(Clases!$G$6:$G$65,R50)&amp;IF(AND(INDEX(Clases!$G$6:$G$65,R50)&lt;&gt;"",INDEX(Clases!$J$6:$J$65,R50)&lt;&gt;"")," · ","")&amp;IF(INDEX(Clases!$J$6:$J$65,R50)="","",INDEX(Clases!$J$6:$J$65,R50)&amp;" min"),IF(R50&lt;0,"Revisa la hoja «Clases»",""))</f>
        <v/>
      </c>
      <c r="S51">
        <f t="shared" ref="S51:Y51" si="22">S50</f>
        <v>0</v>
      </c>
      <c r="T51">
        <f t="shared" si="22"/>
        <v>0</v>
      </c>
      <c r="U51">
        <f t="shared" si="22"/>
        <v>0</v>
      </c>
      <c r="V51">
        <f t="shared" si="22"/>
        <v>0</v>
      </c>
      <c r="W51">
        <f t="shared" si="22"/>
        <v>0</v>
      </c>
      <c r="X51">
        <f t="shared" si="22"/>
        <v>0</v>
      </c>
      <c r="Y51">
        <f t="shared" si="22"/>
        <v>0</v>
      </c>
    </row>
    <row r="52" spans="2:25" ht="20.5" customHeight="1" x14ac:dyDescent="0.2">
      <c r="B52" s="64" t="str">
        <f>IF($K52="","",INT($K52/10)/1440)</f>
        <v/>
      </c>
      <c r="C52" s="65" t="str">
        <f>IF(L52&gt;0,INDEX(Clases!$E$6:$E$65,L52),IF(L52&lt;0,"2 clases a la vez",""))</f>
        <v/>
      </c>
      <c r="D52" s="65" t="str">
        <f>IF(M52&gt;0,INDEX(Clases!$E$6:$E$65,M52),IF(M52&lt;0,"2 clases a la vez",""))</f>
        <v/>
      </c>
      <c r="E52" s="65" t="str">
        <f>IF(N52&gt;0,INDEX(Clases!$E$6:$E$65,N52),IF(N52&lt;0,"2 clases a la vez",""))</f>
        <v/>
      </c>
      <c r="F52" s="65" t="str">
        <f>IF(O52&gt;0,INDEX(Clases!$E$6:$E$65,O52),IF(O52&lt;0,"2 clases a la vez",""))</f>
        <v/>
      </c>
      <c r="G52" s="65" t="str">
        <f>IF(P52&gt;0,INDEX(Clases!$E$6:$E$65,P52),IF(P52&lt;0,"2 clases a la vez",""))</f>
        <v/>
      </c>
      <c r="H52" s="65" t="str">
        <f>IF(Q52&gt;0,INDEX(Clases!$E$6:$E$65,Q52),IF(Q52&lt;0,"2 clases a la vez",""))</f>
        <v/>
      </c>
      <c r="I52" s="65" t="str">
        <f>IF(R52&gt;0,INDEX(Clases!$E$6:$E$65,R52),IF(R52&lt;0,"2 clases a la vez",""))</f>
        <v/>
      </c>
      <c r="K52" t="str">
        <f>IF(K50="","",IFERROR(SMALL(Clases!$S$6:$S$65,COUNTIF(Clases!$S$6:$S$65,"&lt;="&amp;K50)+1),""))</f>
        <v/>
      </c>
      <c r="L52">
        <f>IF($K52="",0,IF(COUNTIF(Clases!$T$6:$T$65,1*100000+$K52)&gt;1,-1,IFERROR(MATCH(1*100000+$K52,Clases!$T$6:$T$65,0),0)))</f>
        <v>0</v>
      </c>
      <c r="M52">
        <f>IF($K52="",0,IF(COUNTIF(Clases!$T$6:$T$65,2*100000+$K52)&gt;1,-1,IFERROR(MATCH(2*100000+$K52,Clases!$T$6:$T$65,0),0)))</f>
        <v>0</v>
      </c>
      <c r="N52">
        <f>IF($K52="",0,IF(COUNTIF(Clases!$T$6:$T$65,3*100000+$K52)&gt;1,-1,IFERROR(MATCH(3*100000+$K52,Clases!$T$6:$T$65,0),0)))</f>
        <v>0</v>
      </c>
      <c r="O52">
        <f>IF($K52="",0,IF(COUNTIF(Clases!$T$6:$T$65,4*100000+$K52)&gt;1,-1,IFERROR(MATCH(4*100000+$K52,Clases!$T$6:$T$65,0),0)))</f>
        <v>0</v>
      </c>
      <c r="P52">
        <f>IF($K52="",0,IF(COUNTIF(Clases!$T$6:$T$65,5*100000+$K52)&gt;1,-1,IFERROR(MATCH(5*100000+$K52,Clases!$T$6:$T$65,0),0)))</f>
        <v>0</v>
      </c>
      <c r="Q52">
        <f>IF($K52="",0,IF(COUNTIF(Clases!$T$6:$T$65,6*100000+$K52)&gt;1,-1,IFERROR(MATCH(6*100000+$K52,Clases!$T$6:$T$65,0),0)))</f>
        <v>0</v>
      </c>
      <c r="R52">
        <f>IF($K52="",0,IF(COUNTIF(Clases!$T$6:$T$65,7*100000+$K52)&gt;1,-1,IFERROR(MATCH(7*100000+$K52,Clases!$T$6:$T$65,0),0)))</f>
        <v>0</v>
      </c>
      <c r="S52">
        <f>IF(L52&gt;0,N(INDEX(Clases!$U$6:$U$65,L52)),IF(L52&lt;0,13,0))</f>
        <v>0</v>
      </c>
      <c r="T52">
        <f>IF(M52&gt;0,N(INDEX(Clases!$U$6:$U$65,M52)),IF(M52&lt;0,13,0))</f>
        <v>0</v>
      </c>
      <c r="U52">
        <f>IF(N52&gt;0,N(INDEX(Clases!$U$6:$U$65,N52)),IF(N52&lt;0,13,0))</f>
        <v>0</v>
      </c>
      <c r="V52">
        <f>IF(O52&gt;0,N(INDEX(Clases!$U$6:$U$65,O52)),IF(O52&lt;0,13,0))</f>
        <v>0</v>
      </c>
      <c r="W52">
        <f>IF(P52&gt;0,N(INDEX(Clases!$U$6:$U$65,P52)),IF(P52&lt;0,13,0))</f>
        <v>0</v>
      </c>
      <c r="X52">
        <f>IF(Q52&gt;0,N(INDEX(Clases!$U$6:$U$65,Q52)),IF(Q52&lt;0,13,0))</f>
        <v>0</v>
      </c>
      <c r="Y52">
        <f>IF(R52&gt;0,N(INDEX(Clases!$U$6:$U$65,R52)),IF(R52&lt;0,13,0))</f>
        <v>0</v>
      </c>
    </row>
    <row r="53" spans="2:25" ht="16" customHeight="1" x14ac:dyDescent="0.2">
      <c r="B53" s="66" t="str">
        <f>IF($K52="","",IFERROR(INDEX(Configuración!$F$6:$F$11,MOD($K52,10)),""))</f>
        <v/>
      </c>
      <c r="C53" s="67" t="str">
        <f>IF(L52&gt;0,INDEX(Clases!$G$6:$G$65,L52)&amp;IF(AND(INDEX(Clases!$G$6:$G$65,L52)&lt;&gt;"",INDEX(Clases!$J$6:$J$65,L52)&lt;&gt;"")," · ","")&amp;IF(INDEX(Clases!$J$6:$J$65,L52)="","",INDEX(Clases!$J$6:$J$65,L52)&amp;" min"),IF(L52&lt;0,"Revisa la hoja «Clases»",""))</f>
        <v/>
      </c>
      <c r="D53" s="67" t="str">
        <f>IF(M52&gt;0,INDEX(Clases!$G$6:$G$65,M52)&amp;IF(AND(INDEX(Clases!$G$6:$G$65,M52)&lt;&gt;"",INDEX(Clases!$J$6:$J$65,M52)&lt;&gt;"")," · ","")&amp;IF(INDEX(Clases!$J$6:$J$65,M52)="","",INDEX(Clases!$J$6:$J$65,M52)&amp;" min"),IF(M52&lt;0,"Revisa la hoja «Clases»",""))</f>
        <v/>
      </c>
      <c r="E53" s="67" t="str">
        <f>IF(N52&gt;0,INDEX(Clases!$G$6:$G$65,N52)&amp;IF(AND(INDEX(Clases!$G$6:$G$65,N52)&lt;&gt;"",INDEX(Clases!$J$6:$J$65,N52)&lt;&gt;"")," · ","")&amp;IF(INDEX(Clases!$J$6:$J$65,N52)="","",INDEX(Clases!$J$6:$J$65,N52)&amp;" min"),IF(N52&lt;0,"Revisa la hoja «Clases»",""))</f>
        <v/>
      </c>
      <c r="F53" s="67" t="str">
        <f>IF(O52&gt;0,INDEX(Clases!$G$6:$G$65,O52)&amp;IF(AND(INDEX(Clases!$G$6:$G$65,O52)&lt;&gt;"",INDEX(Clases!$J$6:$J$65,O52)&lt;&gt;"")," · ","")&amp;IF(INDEX(Clases!$J$6:$J$65,O52)="","",INDEX(Clases!$J$6:$J$65,O52)&amp;" min"),IF(O52&lt;0,"Revisa la hoja «Clases»",""))</f>
        <v/>
      </c>
      <c r="G53" s="67" t="str">
        <f>IF(P52&gt;0,INDEX(Clases!$G$6:$G$65,P52)&amp;IF(AND(INDEX(Clases!$G$6:$G$65,P52)&lt;&gt;"",INDEX(Clases!$J$6:$J$65,P52)&lt;&gt;"")," · ","")&amp;IF(INDEX(Clases!$J$6:$J$65,P52)="","",INDEX(Clases!$J$6:$J$65,P52)&amp;" min"),IF(P52&lt;0,"Revisa la hoja «Clases»",""))</f>
        <v/>
      </c>
      <c r="H53" s="67" t="str">
        <f>IF(Q52&gt;0,INDEX(Clases!$G$6:$G$65,Q52)&amp;IF(AND(INDEX(Clases!$G$6:$G$65,Q52)&lt;&gt;"",INDEX(Clases!$J$6:$J$65,Q52)&lt;&gt;"")," · ","")&amp;IF(INDEX(Clases!$J$6:$J$65,Q52)="","",INDEX(Clases!$J$6:$J$65,Q52)&amp;" min"),IF(Q52&lt;0,"Revisa la hoja «Clases»",""))</f>
        <v/>
      </c>
      <c r="I53" s="67" t="str">
        <f>IF(R52&gt;0,INDEX(Clases!$G$6:$G$65,R52)&amp;IF(AND(INDEX(Clases!$G$6:$G$65,R52)&lt;&gt;"",INDEX(Clases!$J$6:$J$65,R52)&lt;&gt;"")," · ","")&amp;IF(INDEX(Clases!$J$6:$J$65,R52)="","",INDEX(Clases!$J$6:$J$65,R52)&amp;" min"),IF(R52&lt;0,"Revisa la hoja «Clases»",""))</f>
        <v/>
      </c>
      <c r="S53">
        <f t="shared" ref="S53:Y53" si="23">S52</f>
        <v>0</v>
      </c>
      <c r="T53">
        <f t="shared" si="23"/>
        <v>0</v>
      </c>
      <c r="U53">
        <f t="shared" si="23"/>
        <v>0</v>
      </c>
      <c r="V53">
        <f t="shared" si="23"/>
        <v>0</v>
      </c>
      <c r="W53">
        <f t="shared" si="23"/>
        <v>0</v>
      </c>
      <c r="X53">
        <f t="shared" si="23"/>
        <v>0</v>
      </c>
      <c r="Y53">
        <f t="shared" si="23"/>
        <v>0</v>
      </c>
    </row>
    <row r="54" spans="2:25" ht="20.5" customHeight="1" x14ac:dyDescent="0.2">
      <c r="B54" s="64" t="str">
        <f>IF($K54="","",INT($K54/10)/1440)</f>
        <v/>
      </c>
      <c r="C54" s="65" t="str">
        <f>IF(L54&gt;0,INDEX(Clases!$E$6:$E$65,L54),IF(L54&lt;0,"2 clases a la vez",""))</f>
        <v/>
      </c>
      <c r="D54" s="65" t="str">
        <f>IF(M54&gt;0,INDEX(Clases!$E$6:$E$65,M54),IF(M54&lt;0,"2 clases a la vez",""))</f>
        <v/>
      </c>
      <c r="E54" s="65" t="str">
        <f>IF(N54&gt;0,INDEX(Clases!$E$6:$E$65,N54),IF(N54&lt;0,"2 clases a la vez",""))</f>
        <v/>
      </c>
      <c r="F54" s="65" t="str">
        <f>IF(O54&gt;0,INDEX(Clases!$E$6:$E$65,O54),IF(O54&lt;0,"2 clases a la vez",""))</f>
        <v/>
      </c>
      <c r="G54" s="65" t="str">
        <f>IF(P54&gt;0,INDEX(Clases!$E$6:$E$65,P54),IF(P54&lt;0,"2 clases a la vez",""))</f>
        <v/>
      </c>
      <c r="H54" s="65" t="str">
        <f>IF(Q54&gt;0,INDEX(Clases!$E$6:$E$65,Q54),IF(Q54&lt;0,"2 clases a la vez",""))</f>
        <v/>
      </c>
      <c r="I54" s="65" t="str">
        <f>IF(R54&gt;0,INDEX(Clases!$E$6:$E$65,R54),IF(R54&lt;0,"2 clases a la vez",""))</f>
        <v/>
      </c>
      <c r="K54" t="str">
        <f>IF(K52="","",IFERROR(SMALL(Clases!$S$6:$S$65,COUNTIF(Clases!$S$6:$S$65,"&lt;="&amp;K52)+1),""))</f>
        <v/>
      </c>
      <c r="L54">
        <f>IF($K54="",0,IF(COUNTIF(Clases!$T$6:$T$65,1*100000+$K54)&gt;1,-1,IFERROR(MATCH(1*100000+$K54,Clases!$T$6:$T$65,0),0)))</f>
        <v>0</v>
      </c>
      <c r="M54">
        <f>IF($K54="",0,IF(COUNTIF(Clases!$T$6:$T$65,2*100000+$K54)&gt;1,-1,IFERROR(MATCH(2*100000+$K54,Clases!$T$6:$T$65,0),0)))</f>
        <v>0</v>
      </c>
      <c r="N54">
        <f>IF($K54="",0,IF(COUNTIF(Clases!$T$6:$T$65,3*100000+$K54)&gt;1,-1,IFERROR(MATCH(3*100000+$K54,Clases!$T$6:$T$65,0),0)))</f>
        <v>0</v>
      </c>
      <c r="O54">
        <f>IF($K54="",0,IF(COUNTIF(Clases!$T$6:$T$65,4*100000+$K54)&gt;1,-1,IFERROR(MATCH(4*100000+$K54,Clases!$T$6:$T$65,0),0)))</f>
        <v>0</v>
      </c>
      <c r="P54">
        <f>IF($K54="",0,IF(COUNTIF(Clases!$T$6:$T$65,5*100000+$K54)&gt;1,-1,IFERROR(MATCH(5*100000+$K54,Clases!$T$6:$T$65,0),0)))</f>
        <v>0</v>
      </c>
      <c r="Q54">
        <f>IF($K54="",0,IF(COUNTIF(Clases!$T$6:$T$65,6*100000+$K54)&gt;1,-1,IFERROR(MATCH(6*100000+$K54,Clases!$T$6:$T$65,0),0)))</f>
        <v>0</v>
      </c>
      <c r="R54">
        <f>IF($K54="",0,IF(COUNTIF(Clases!$T$6:$T$65,7*100000+$K54)&gt;1,-1,IFERROR(MATCH(7*100000+$K54,Clases!$T$6:$T$65,0),0)))</f>
        <v>0</v>
      </c>
      <c r="S54">
        <f>IF(L54&gt;0,N(INDEX(Clases!$U$6:$U$65,L54)),IF(L54&lt;0,13,0))</f>
        <v>0</v>
      </c>
      <c r="T54">
        <f>IF(M54&gt;0,N(INDEX(Clases!$U$6:$U$65,M54)),IF(M54&lt;0,13,0))</f>
        <v>0</v>
      </c>
      <c r="U54">
        <f>IF(N54&gt;0,N(INDEX(Clases!$U$6:$U$65,N54)),IF(N54&lt;0,13,0))</f>
        <v>0</v>
      </c>
      <c r="V54">
        <f>IF(O54&gt;0,N(INDEX(Clases!$U$6:$U$65,O54)),IF(O54&lt;0,13,0))</f>
        <v>0</v>
      </c>
      <c r="W54">
        <f>IF(P54&gt;0,N(INDEX(Clases!$U$6:$U$65,P54)),IF(P54&lt;0,13,0))</f>
        <v>0</v>
      </c>
      <c r="X54">
        <f>IF(Q54&gt;0,N(INDEX(Clases!$U$6:$U$65,Q54)),IF(Q54&lt;0,13,0))</f>
        <v>0</v>
      </c>
      <c r="Y54">
        <f>IF(R54&gt;0,N(INDEX(Clases!$U$6:$U$65,R54)),IF(R54&lt;0,13,0))</f>
        <v>0</v>
      </c>
    </row>
    <row r="55" spans="2:25" ht="16" customHeight="1" x14ac:dyDescent="0.2">
      <c r="B55" s="66" t="str">
        <f>IF($K54="","",IFERROR(INDEX(Configuración!$F$6:$F$11,MOD($K54,10)),""))</f>
        <v/>
      </c>
      <c r="C55" s="67" t="str">
        <f>IF(L54&gt;0,INDEX(Clases!$G$6:$G$65,L54)&amp;IF(AND(INDEX(Clases!$G$6:$G$65,L54)&lt;&gt;"",INDEX(Clases!$J$6:$J$65,L54)&lt;&gt;"")," · ","")&amp;IF(INDEX(Clases!$J$6:$J$65,L54)="","",INDEX(Clases!$J$6:$J$65,L54)&amp;" min"),IF(L54&lt;0,"Revisa la hoja «Clases»",""))</f>
        <v/>
      </c>
      <c r="D55" s="67" t="str">
        <f>IF(M54&gt;0,INDEX(Clases!$G$6:$G$65,M54)&amp;IF(AND(INDEX(Clases!$G$6:$G$65,M54)&lt;&gt;"",INDEX(Clases!$J$6:$J$65,M54)&lt;&gt;"")," · ","")&amp;IF(INDEX(Clases!$J$6:$J$65,M54)="","",INDEX(Clases!$J$6:$J$65,M54)&amp;" min"),IF(M54&lt;0,"Revisa la hoja «Clases»",""))</f>
        <v/>
      </c>
      <c r="E55" s="67" t="str">
        <f>IF(N54&gt;0,INDEX(Clases!$G$6:$G$65,N54)&amp;IF(AND(INDEX(Clases!$G$6:$G$65,N54)&lt;&gt;"",INDEX(Clases!$J$6:$J$65,N54)&lt;&gt;"")," · ","")&amp;IF(INDEX(Clases!$J$6:$J$65,N54)="","",INDEX(Clases!$J$6:$J$65,N54)&amp;" min"),IF(N54&lt;0,"Revisa la hoja «Clases»",""))</f>
        <v/>
      </c>
      <c r="F55" s="67" t="str">
        <f>IF(O54&gt;0,INDEX(Clases!$G$6:$G$65,O54)&amp;IF(AND(INDEX(Clases!$G$6:$G$65,O54)&lt;&gt;"",INDEX(Clases!$J$6:$J$65,O54)&lt;&gt;"")," · ","")&amp;IF(INDEX(Clases!$J$6:$J$65,O54)="","",INDEX(Clases!$J$6:$J$65,O54)&amp;" min"),IF(O54&lt;0,"Revisa la hoja «Clases»",""))</f>
        <v/>
      </c>
      <c r="G55" s="67" t="str">
        <f>IF(P54&gt;0,INDEX(Clases!$G$6:$G$65,P54)&amp;IF(AND(INDEX(Clases!$G$6:$G$65,P54)&lt;&gt;"",INDEX(Clases!$J$6:$J$65,P54)&lt;&gt;"")," · ","")&amp;IF(INDEX(Clases!$J$6:$J$65,P54)="","",INDEX(Clases!$J$6:$J$65,P54)&amp;" min"),IF(P54&lt;0,"Revisa la hoja «Clases»",""))</f>
        <v/>
      </c>
      <c r="H55" s="67" t="str">
        <f>IF(Q54&gt;0,INDEX(Clases!$G$6:$G$65,Q54)&amp;IF(AND(INDEX(Clases!$G$6:$G$65,Q54)&lt;&gt;"",INDEX(Clases!$J$6:$J$65,Q54)&lt;&gt;"")," · ","")&amp;IF(INDEX(Clases!$J$6:$J$65,Q54)="","",INDEX(Clases!$J$6:$J$65,Q54)&amp;" min"),IF(Q54&lt;0,"Revisa la hoja «Clases»",""))</f>
        <v/>
      </c>
      <c r="I55" s="67" t="str">
        <f>IF(R54&gt;0,INDEX(Clases!$G$6:$G$65,R54)&amp;IF(AND(INDEX(Clases!$G$6:$G$65,R54)&lt;&gt;"",INDEX(Clases!$J$6:$J$65,R54)&lt;&gt;"")," · ","")&amp;IF(INDEX(Clases!$J$6:$J$65,R54)="","",INDEX(Clases!$J$6:$J$65,R54)&amp;" min"),IF(R54&lt;0,"Revisa la hoja «Clases»",""))</f>
        <v/>
      </c>
      <c r="S55">
        <f t="shared" ref="S55:Y55" si="24">S54</f>
        <v>0</v>
      </c>
      <c r="T55">
        <f t="shared" si="24"/>
        <v>0</v>
      </c>
      <c r="U55">
        <f t="shared" si="24"/>
        <v>0</v>
      </c>
      <c r="V55">
        <f t="shared" si="24"/>
        <v>0</v>
      </c>
      <c r="W55">
        <f t="shared" si="24"/>
        <v>0</v>
      </c>
      <c r="X55">
        <f t="shared" si="24"/>
        <v>0</v>
      </c>
      <c r="Y55">
        <f t="shared" si="24"/>
        <v>0</v>
      </c>
    </row>
    <row r="56" spans="2:25" ht="20.5" customHeight="1" x14ac:dyDescent="0.2">
      <c r="B56" s="64" t="str">
        <f>IF($K56="","",INT($K56/10)/1440)</f>
        <v/>
      </c>
      <c r="C56" s="65" t="str">
        <f>IF(L56&gt;0,INDEX(Clases!$E$6:$E$65,L56),IF(L56&lt;0,"2 clases a la vez",""))</f>
        <v/>
      </c>
      <c r="D56" s="65" t="str">
        <f>IF(M56&gt;0,INDEX(Clases!$E$6:$E$65,M56),IF(M56&lt;0,"2 clases a la vez",""))</f>
        <v/>
      </c>
      <c r="E56" s="65" t="str">
        <f>IF(N56&gt;0,INDEX(Clases!$E$6:$E$65,N56),IF(N56&lt;0,"2 clases a la vez",""))</f>
        <v/>
      </c>
      <c r="F56" s="65" t="str">
        <f>IF(O56&gt;0,INDEX(Clases!$E$6:$E$65,O56),IF(O56&lt;0,"2 clases a la vez",""))</f>
        <v/>
      </c>
      <c r="G56" s="65" t="str">
        <f>IF(P56&gt;0,INDEX(Clases!$E$6:$E$65,P56),IF(P56&lt;0,"2 clases a la vez",""))</f>
        <v/>
      </c>
      <c r="H56" s="65" t="str">
        <f>IF(Q56&gt;0,INDEX(Clases!$E$6:$E$65,Q56),IF(Q56&lt;0,"2 clases a la vez",""))</f>
        <v/>
      </c>
      <c r="I56" s="65" t="str">
        <f>IF(R56&gt;0,INDEX(Clases!$E$6:$E$65,R56),IF(R56&lt;0,"2 clases a la vez",""))</f>
        <v/>
      </c>
      <c r="K56" t="str">
        <f>IF(K54="","",IFERROR(SMALL(Clases!$S$6:$S$65,COUNTIF(Clases!$S$6:$S$65,"&lt;="&amp;K54)+1),""))</f>
        <v/>
      </c>
      <c r="L56">
        <f>IF($K56="",0,IF(COUNTIF(Clases!$T$6:$T$65,1*100000+$K56)&gt;1,-1,IFERROR(MATCH(1*100000+$K56,Clases!$T$6:$T$65,0),0)))</f>
        <v>0</v>
      </c>
      <c r="M56">
        <f>IF($K56="",0,IF(COUNTIF(Clases!$T$6:$T$65,2*100000+$K56)&gt;1,-1,IFERROR(MATCH(2*100000+$K56,Clases!$T$6:$T$65,0),0)))</f>
        <v>0</v>
      </c>
      <c r="N56">
        <f>IF($K56="",0,IF(COUNTIF(Clases!$T$6:$T$65,3*100000+$K56)&gt;1,-1,IFERROR(MATCH(3*100000+$K56,Clases!$T$6:$T$65,0),0)))</f>
        <v>0</v>
      </c>
      <c r="O56">
        <f>IF($K56="",0,IF(COUNTIF(Clases!$T$6:$T$65,4*100000+$K56)&gt;1,-1,IFERROR(MATCH(4*100000+$K56,Clases!$T$6:$T$65,0),0)))</f>
        <v>0</v>
      </c>
      <c r="P56">
        <f>IF($K56="",0,IF(COUNTIF(Clases!$T$6:$T$65,5*100000+$K56)&gt;1,-1,IFERROR(MATCH(5*100000+$K56,Clases!$T$6:$T$65,0),0)))</f>
        <v>0</v>
      </c>
      <c r="Q56">
        <f>IF($K56="",0,IF(COUNTIF(Clases!$T$6:$T$65,6*100000+$K56)&gt;1,-1,IFERROR(MATCH(6*100000+$K56,Clases!$T$6:$T$65,0),0)))</f>
        <v>0</v>
      </c>
      <c r="R56">
        <f>IF($K56="",0,IF(COUNTIF(Clases!$T$6:$T$65,7*100000+$K56)&gt;1,-1,IFERROR(MATCH(7*100000+$K56,Clases!$T$6:$T$65,0),0)))</f>
        <v>0</v>
      </c>
      <c r="S56">
        <f>IF(L56&gt;0,N(INDEX(Clases!$U$6:$U$65,L56)),IF(L56&lt;0,13,0))</f>
        <v>0</v>
      </c>
      <c r="T56">
        <f>IF(M56&gt;0,N(INDEX(Clases!$U$6:$U$65,M56)),IF(M56&lt;0,13,0))</f>
        <v>0</v>
      </c>
      <c r="U56">
        <f>IF(N56&gt;0,N(INDEX(Clases!$U$6:$U$65,N56)),IF(N56&lt;0,13,0))</f>
        <v>0</v>
      </c>
      <c r="V56">
        <f>IF(O56&gt;0,N(INDEX(Clases!$U$6:$U$65,O56)),IF(O56&lt;0,13,0))</f>
        <v>0</v>
      </c>
      <c r="W56">
        <f>IF(P56&gt;0,N(INDEX(Clases!$U$6:$U$65,P56)),IF(P56&lt;0,13,0))</f>
        <v>0</v>
      </c>
      <c r="X56">
        <f>IF(Q56&gt;0,N(INDEX(Clases!$U$6:$U$65,Q56)),IF(Q56&lt;0,13,0))</f>
        <v>0</v>
      </c>
      <c r="Y56">
        <f>IF(R56&gt;0,N(INDEX(Clases!$U$6:$U$65,R56)),IF(R56&lt;0,13,0))</f>
        <v>0</v>
      </c>
    </row>
    <row r="57" spans="2:25" ht="16" customHeight="1" x14ac:dyDescent="0.2">
      <c r="B57" s="66" t="str">
        <f>IF($K56="","",IFERROR(INDEX(Configuración!$F$6:$F$11,MOD($K56,10)),""))</f>
        <v/>
      </c>
      <c r="C57" s="67" t="str">
        <f>IF(L56&gt;0,INDEX(Clases!$G$6:$G$65,L56)&amp;IF(AND(INDEX(Clases!$G$6:$G$65,L56)&lt;&gt;"",INDEX(Clases!$J$6:$J$65,L56)&lt;&gt;"")," · ","")&amp;IF(INDEX(Clases!$J$6:$J$65,L56)="","",INDEX(Clases!$J$6:$J$65,L56)&amp;" min"),IF(L56&lt;0,"Revisa la hoja «Clases»",""))</f>
        <v/>
      </c>
      <c r="D57" s="67" t="str">
        <f>IF(M56&gt;0,INDEX(Clases!$G$6:$G$65,M56)&amp;IF(AND(INDEX(Clases!$G$6:$G$65,M56)&lt;&gt;"",INDEX(Clases!$J$6:$J$65,M56)&lt;&gt;"")," · ","")&amp;IF(INDEX(Clases!$J$6:$J$65,M56)="","",INDEX(Clases!$J$6:$J$65,M56)&amp;" min"),IF(M56&lt;0,"Revisa la hoja «Clases»",""))</f>
        <v/>
      </c>
      <c r="E57" s="67" t="str">
        <f>IF(N56&gt;0,INDEX(Clases!$G$6:$G$65,N56)&amp;IF(AND(INDEX(Clases!$G$6:$G$65,N56)&lt;&gt;"",INDEX(Clases!$J$6:$J$65,N56)&lt;&gt;"")," · ","")&amp;IF(INDEX(Clases!$J$6:$J$65,N56)="","",INDEX(Clases!$J$6:$J$65,N56)&amp;" min"),IF(N56&lt;0,"Revisa la hoja «Clases»",""))</f>
        <v/>
      </c>
      <c r="F57" s="67" t="str">
        <f>IF(O56&gt;0,INDEX(Clases!$G$6:$G$65,O56)&amp;IF(AND(INDEX(Clases!$G$6:$G$65,O56)&lt;&gt;"",INDEX(Clases!$J$6:$J$65,O56)&lt;&gt;"")," · ","")&amp;IF(INDEX(Clases!$J$6:$J$65,O56)="","",INDEX(Clases!$J$6:$J$65,O56)&amp;" min"),IF(O56&lt;0,"Revisa la hoja «Clases»",""))</f>
        <v/>
      </c>
      <c r="G57" s="67" t="str">
        <f>IF(P56&gt;0,INDEX(Clases!$G$6:$G$65,P56)&amp;IF(AND(INDEX(Clases!$G$6:$G$65,P56)&lt;&gt;"",INDEX(Clases!$J$6:$J$65,P56)&lt;&gt;"")," · ","")&amp;IF(INDEX(Clases!$J$6:$J$65,P56)="","",INDEX(Clases!$J$6:$J$65,P56)&amp;" min"),IF(P56&lt;0,"Revisa la hoja «Clases»",""))</f>
        <v/>
      </c>
      <c r="H57" s="67" t="str">
        <f>IF(Q56&gt;0,INDEX(Clases!$G$6:$G$65,Q56)&amp;IF(AND(INDEX(Clases!$G$6:$G$65,Q56)&lt;&gt;"",INDEX(Clases!$J$6:$J$65,Q56)&lt;&gt;"")," · ","")&amp;IF(INDEX(Clases!$J$6:$J$65,Q56)="","",INDEX(Clases!$J$6:$J$65,Q56)&amp;" min"),IF(Q56&lt;0,"Revisa la hoja «Clases»",""))</f>
        <v/>
      </c>
      <c r="I57" s="67" t="str">
        <f>IF(R56&gt;0,INDEX(Clases!$G$6:$G$65,R56)&amp;IF(AND(INDEX(Clases!$G$6:$G$65,R56)&lt;&gt;"",INDEX(Clases!$J$6:$J$65,R56)&lt;&gt;"")," · ","")&amp;IF(INDEX(Clases!$J$6:$J$65,R56)="","",INDEX(Clases!$J$6:$J$65,R56)&amp;" min"),IF(R56&lt;0,"Revisa la hoja «Clases»",""))</f>
        <v/>
      </c>
      <c r="S57">
        <f t="shared" ref="S57:Y57" si="25">S56</f>
        <v>0</v>
      </c>
      <c r="T57">
        <f t="shared" si="25"/>
        <v>0</v>
      </c>
      <c r="U57">
        <f t="shared" si="25"/>
        <v>0</v>
      </c>
      <c r="V57">
        <f t="shared" si="25"/>
        <v>0</v>
      </c>
      <c r="W57">
        <f t="shared" si="25"/>
        <v>0</v>
      </c>
      <c r="X57">
        <f t="shared" si="25"/>
        <v>0</v>
      </c>
      <c r="Y57">
        <f t="shared" si="25"/>
        <v>0</v>
      </c>
    </row>
    <row r="58" spans="2:25" ht="20.5" customHeight="1" x14ac:dyDescent="0.2">
      <c r="B58" s="64" t="str">
        <f>IF($K58="","",INT($K58/10)/1440)</f>
        <v/>
      </c>
      <c r="C58" s="65" t="str">
        <f>IF(L58&gt;0,INDEX(Clases!$E$6:$E$65,L58),IF(L58&lt;0,"2 clases a la vez",""))</f>
        <v/>
      </c>
      <c r="D58" s="65" t="str">
        <f>IF(M58&gt;0,INDEX(Clases!$E$6:$E$65,M58),IF(M58&lt;0,"2 clases a la vez",""))</f>
        <v/>
      </c>
      <c r="E58" s="65" t="str">
        <f>IF(N58&gt;0,INDEX(Clases!$E$6:$E$65,N58),IF(N58&lt;0,"2 clases a la vez",""))</f>
        <v/>
      </c>
      <c r="F58" s="65" t="str">
        <f>IF(O58&gt;0,INDEX(Clases!$E$6:$E$65,O58),IF(O58&lt;0,"2 clases a la vez",""))</f>
        <v/>
      </c>
      <c r="G58" s="65" t="str">
        <f>IF(P58&gt;0,INDEX(Clases!$E$6:$E$65,P58),IF(P58&lt;0,"2 clases a la vez",""))</f>
        <v/>
      </c>
      <c r="H58" s="65" t="str">
        <f>IF(Q58&gt;0,INDEX(Clases!$E$6:$E$65,Q58),IF(Q58&lt;0,"2 clases a la vez",""))</f>
        <v/>
      </c>
      <c r="I58" s="65" t="str">
        <f>IF(R58&gt;0,INDEX(Clases!$E$6:$E$65,R58),IF(R58&lt;0,"2 clases a la vez",""))</f>
        <v/>
      </c>
      <c r="K58" t="str">
        <f>IF(K56="","",IFERROR(SMALL(Clases!$S$6:$S$65,COUNTIF(Clases!$S$6:$S$65,"&lt;="&amp;K56)+1),""))</f>
        <v/>
      </c>
      <c r="L58">
        <f>IF($K58="",0,IF(COUNTIF(Clases!$T$6:$T$65,1*100000+$K58)&gt;1,-1,IFERROR(MATCH(1*100000+$K58,Clases!$T$6:$T$65,0),0)))</f>
        <v>0</v>
      </c>
      <c r="M58">
        <f>IF($K58="",0,IF(COUNTIF(Clases!$T$6:$T$65,2*100000+$K58)&gt;1,-1,IFERROR(MATCH(2*100000+$K58,Clases!$T$6:$T$65,0),0)))</f>
        <v>0</v>
      </c>
      <c r="N58">
        <f>IF($K58="",0,IF(COUNTIF(Clases!$T$6:$T$65,3*100000+$K58)&gt;1,-1,IFERROR(MATCH(3*100000+$K58,Clases!$T$6:$T$65,0),0)))</f>
        <v>0</v>
      </c>
      <c r="O58">
        <f>IF($K58="",0,IF(COUNTIF(Clases!$T$6:$T$65,4*100000+$K58)&gt;1,-1,IFERROR(MATCH(4*100000+$K58,Clases!$T$6:$T$65,0),0)))</f>
        <v>0</v>
      </c>
      <c r="P58">
        <f>IF($K58="",0,IF(COUNTIF(Clases!$T$6:$T$65,5*100000+$K58)&gt;1,-1,IFERROR(MATCH(5*100000+$K58,Clases!$T$6:$T$65,0),0)))</f>
        <v>0</v>
      </c>
      <c r="Q58">
        <f>IF($K58="",0,IF(COUNTIF(Clases!$T$6:$T$65,6*100000+$K58)&gt;1,-1,IFERROR(MATCH(6*100000+$K58,Clases!$T$6:$T$65,0),0)))</f>
        <v>0</v>
      </c>
      <c r="R58">
        <f>IF($K58="",0,IF(COUNTIF(Clases!$T$6:$T$65,7*100000+$K58)&gt;1,-1,IFERROR(MATCH(7*100000+$K58,Clases!$T$6:$T$65,0),0)))</f>
        <v>0</v>
      </c>
      <c r="S58">
        <f>IF(L58&gt;0,N(INDEX(Clases!$U$6:$U$65,L58)),IF(L58&lt;0,13,0))</f>
        <v>0</v>
      </c>
      <c r="T58">
        <f>IF(M58&gt;0,N(INDEX(Clases!$U$6:$U$65,M58)),IF(M58&lt;0,13,0))</f>
        <v>0</v>
      </c>
      <c r="U58">
        <f>IF(N58&gt;0,N(INDEX(Clases!$U$6:$U$65,N58)),IF(N58&lt;0,13,0))</f>
        <v>0</v>
      </c>
      <c r="V58">
        <f>IF(O58&gt;0,N(INDEX(Clases!$U$6:$U$65,O58)),IF(O58&lt;0,13,0))</f>
        <v>0</v>
      </c>
      <c r="W58">
        <f>IF(P58&gt;0,N(INDEX(Clases!$U$6:$U$65,P58)),IF(P58&lt;0,13,0))</f>
        <v>0</v>
      </c>
      <c r="X58">
        <f>IF(Q58&gt;0,N(INDEX(Clases!$U$6:$U$65,Q58)),IF(Q58&lt;0,13,0))</f>
        <v>0</v>
      </c>
      <c r="Y58">
        <f>IF(R58&gt;0,N(INDEX(Clases!$U$6:$U$65,R58)),IF(R58&lt;0,13,0))</f>
        <v>0</v>
      </c>
    </row>
    <row r="59" spans="2:25" ht="16" customHeight="1" x14ac:dyDescent="0.2">
      <c r="B59" s="66" t="str">
        <f>IF($K58="","",IFERROR(INDEX(Configuración!$F$6:$F$11,MOD($K58,10)),""))</f>
        <v/>
      </c>
      <c r="C59" s="67" t="str">
        <f>IF(L58&gt;0,INDEX(Clases!$G$6:$G$65,L58)&amp;IF(AND(INDEX(Clases!$G$6:$G$65,L58)&lt;&gt;"",INDEX(Clases!$J$6:$J$65,L58)&lt;&gt;"")," · ","")&amp;IF(INDEX(Clases!$J$6:$J$65,L58)="","",INDEX(Clases!$J$6:$J$65,L58)&amp;" min"),IF(L58&lt;0,"Revisa la hoja «Clases»",""))</f>
        <v/>
      </c>
      <c r="D59" s="67" t="str">
        <f>IF(M58&gt;0,INDEX(Clases!$G$6:$G$65,M58)&amp;IF(AND(INDEX(Clases!$G$6:$G$65,M58)&lt;&gt;"",INDEX(Clases!$J$6:$J$65,M58)&lt;&gt;"")," · ","")&amp;IF(INDEX(Clases!$J$6:$J$65,M58)="","",INDEX(Clases!$J$6:$J$65,M58)&amp;" min"),IF(M58&lt;0,"Revisa la hoja «Clases»",""))</f>
        <v/>
      </c>
      <c r="E59" s="67" t="str">
        <f>IF(N58&gt;0,INDEX(Clases!$G$6:$G$65,N58)&amp;IF(AND(INDEX(Clases!$G$6:$G$65,N58)&lt;&gt;"",INDEX(Clases!$J$6:$J$65,N58)&lt;&gt;"")," · ","")&amp;IF(INDEX(Clases!$J$6:$J$65,N58)="","",INDEX(Clases!$J$6:$J$65,N58)&amp;" min"),IF(N58&lt;0,"Revisa la hoja «Clases»",""))</f>
        <v/>
      </c>
      <c r="F59" s="67" t="str">
        <f>IF(O58&gt;0,INDEX(Clases!$G$6:$G$65,O58)&amp;IF(AND(INDEX(Clases!$G$6:$G$65,O58)&lt;&gt;"",INDEX(Clases!$J$6:$J$65,O58)&lt;&gt;"")," · ","")&amp;IF(INDEX(Clases!$J$6:$J$65,O58)="","",INDEX(Clases!$J$6:$J$65,O58)&amp;" min"),IF(O58&lt;0,"Revisa la hoja «Clases»",""))</f>
        <v/>
      </c>
      <c r="G59" s="67" t="str">
        <f>IF(P58&gt;0,INDEX(Clases!$G$6:$G$65,P58)&amp;IF(AND(INDEX(Clases!$G$6:$G$65,P58)&lt;&gt;"",INDEX(Clases!$J$6:$J$65,P58)&lt;&gt;"")," · ","")&amp;IF(INDEX(Clases!$J$6:$J$65,P58)="","",INDEX(Clases!$J$6:$J$65,P58)&amp;" min"),IF(P58&lt;0,"Revisa la hoja «Clases»",""))</f>
        <v/>
      </c>
      <c r="H59" s="67" t="str">
        <f>IF(Q58&gt;0,INDEX(Clases!$G$6:$G$65,Q58)&amp;IF(AND(INDEX(Clases!$G$6:$G$65,Q58)&lt;&gt;"",INDEX(Clases!$J$6:$J$65,Q58)&lt;&gt;"")," · ","")&amp;IF(INDEX(Clases!$J$6:$J$65,Q58)="","",INDEX(Clases!$J$6:$J$65,Q58)&amp;" min"),IF(Q58&lt;0,"Revisa la hoja «Clases»",""))</f>
        <v/>
      </c>
      <c r="I59" s="67" t="str">
        <f>IF(R58&gt;0,INDEX(Clases!$G$6:$G$65,R58)&amp;IF(AND(INDEX(Clases!$G$6:$G$65,R58)&lt;&gt;"",INDEX(Clases!$J$6:$J$65,R58)&lt;&gt;"")," · ","")&amp;IF(INDEX(Clases!$J$6:$J$65,R58)="","",INDEX(Clases!$J$6:$J$65,R58)&amp;" min"),IF(R58&lt;0,"Revisa la hoja «Clases»",""))</f>
        <v/>
      </c>
      <c r="S59">
        <f t="shared" ref="S59:Y59" si="26">S58</f>
        <v>0</v>
      </c>
      <c r="T59">
        <f t="shared" si="26"/>
        <v>0</v>
      </c>
      <c r="U59">
        <f t="shared" si="26"/>
        <v>0</v>
      </c>
      <c r="V59">
        <f t="shared" si="26"/>
        <v>0</v>
      </c>
      <c r="W59">
        <f t="shared" si="26"/>
        <v>0</v>
      </c>
      <c r="X59">
        <f t="shared" si="26"/>
        <v>0</v>
      </c>
      <c r="Y59">
        <f t="shared" si="26"/>
        <v>0</v>
      </c>
    </row>
    <row r="60" spans="2:25" ht="20.5" customHeight="1" x14ac:dyDescent="0.2">
      <c r="B60" s="64" t="str">
        <f>IF($K60="","",INT($K60/10)/1440)</f>
        <v/>
      </c>
      <c r="C60" s="65" t="str">
        <f>IF(L60&gt;0,INDEX(Clases!$E$6:$E$65,L60),IF(L60&lt;0,"2 clases a la vez",""))</f>
        <v/>
      </c>
      <c r="D60" s="65" t="str">
        <f>IF(M60&gt;0,INDEX(Clases!$E$6:$E$65,M60),IF(M60&lt;0,"2 clases a la vez",""))</f>
        <v/>
      </c>
      <c r="E60" s="65" t="str">
        <f>IF(N60&gt;0,INDEX(Clases!$E$6:$E$65,N60),IF(N60&lt;0,"2 clases a la vez",""))</f>
        <v/>
      </c>
      <c r="F60" s="65" t="str">
        <f>IF(O60&gt;0,INDEX(Clases!$E$6:$E$65,O60),IF(O60&lt;0,"2 clases a la vez",""))</f>
        <v/>
      </c>
      <c r="G60" s="65" t="str">
        <f>IF(P60&gt;0,INDEX(Clases!$E$6:$E$65,P60),IF(P60&lt;0,"2 clases a la vez",""))</f>
        <v/>
      </c>
      <c r="H60" s="65" t="str">
        <f>IF(Q60&gt;0,INDEX(Clases!$E$6:$E$65,Q60),IF(Q60&lt;0,"2 clases a la vez",""))</f>
        <v/>
      </c>
      <c r="I60" s="65" t="str">
        <f>IF(R60&gt;0,INDEX(Clases!$E$6:$E$65,R60),IF(R60&lt;0,"2 clases a la vez",""))</f>
        <v/>
      </c>
      <c r="K60" t="str">
        <f>IF(K58="","",IFERROR(SMALL(Clases!$S$6:$S$65,COUNTIF(Clases!$S$6:$S$65,"&lt;="&amp;K58)+1),""))</f>
        <v/>
      </c>
      <c r="L60">
        <f>IF($K60="",0,IF(COUNTIF(Clases!$T$6:$T$65,1*100000+$K60)&gt;1,-1,IFERROR(MATCH(1*100000+$K60,Clases!$T$6:$T$65,0),0)))</f>
        <v>0</v>
      </c>
      <c r="M60">
        <f>IF($K60="",0,IF(COUNTIF(Clases!$T$6:$T$65,2*100000+$K60)&gt;1,-1,IFERROR(MATCH(2*100000+$K60,Clases!$T$6:$T$65,0),0)))</f>
        <v>0</v>
      </c>
      <c r="N60">
        <f>IF($K60="",0,IF(COUNTIF(Clases!$T$6:$T$65,3*100000+$K60)&gt;1,-1,IFERROR(MATCH(3*100000+$K60,Clases!$T$6:$T$65,0),0)))</f>
        <v>0</v>
      </c>
      <c r="O60">
        <f>IF($K60="",0,IF(COUNTIF(Clases!$T$6:$T$65,4*100000+$K60)&gt;1,-1,IFERROR(MATCH(4*100000+$K60,Clases!$T$6:$T$65,0),0)))</f>
        <v>0</v>
      </c>
      <c r="P60">
        <f>IF($K60="",0,IF(COUNTIF(Clases!$T$6:$T$65,5*100000+$K60)&gt;1,-1,IFERROR(MATCH(5*100000+$K60,Clases!$T$6:$T$65,0),0)))</f>
        <v>0</v>
      </c>
      <c r="Q60">
        <f>IF($K60="",0,IF(COUNTIF(Clases!$T$6:$T$65,6*100000+$K60)&gt;1,-1,IFERROR(MATCH(6*100000+$K60,Clases!$T$6:$T$65,0),0)))</f>
        <v>0</v>
      </c>
      <c r="R60">
        <f>IF($K60="",0,IF(COUNTIF(Clases!$T$6:$T$65,7*100000+$K60)&gt;1,-1,IFERROR(MATCH(7*100000+$K60,Clases!$T$6:$T$65,0),0)))</f>
        <v>0</v>
      </c>
      <c r="S60">
        <f>IF(L60&gt;0,N(INDEX(Clases!$U$6:$U$65,L60)),IF(L60&lt;0,13,0))</f>
        <v>0</v>
      </c>
      <c r="T60">
        <f>IF(M60&gt;0,N(INDEX(Clases!$U$6:$U$65,M60)),IF(M60&lt;0,13,0))</f>
        <v>0</v>
      </c>
      <c r="U60">
        <f>IF(N60&gt;0,N(INDEX(Clases!$U$6:$U$65,N60)),IF(N60&lt;0,13,0))</f>
        <v>0</v>
      </c>
      <c r="V60">
        <f>IF(O60&gt;0,N(INDEX(Clases!$U$6:$U$65,O60)),IF(O60&lt;0,13,0))</f>
        <v>0</v>
      </c>
      <c r="W60">
        <f>IF(P60&gt;0,N(INDEX(Clases!$U$6:$U$65,P60)),IF(P60&lt;0,13,0))</f>
        <v>0</v>
      </c>
      <c r="X60">
        <f>IF(Q60&gt;0,N(INDEX(Clases!$U$6:$U$65,Q60)),IF(Q60&lt;0,13,0))</f>
        <v>0</v>
      </c>
      <c r="Y60">
        <f>IF(R60&gt;0,N(INDEX(Clases!$U$6:$U$65,R60)),IF(R60&lt;0,13,0))</f>
        <v>0</v>
      </c>
    </row>
    <row r="61" spans="2:25" ht="16" customHeight="1" x14ac:dyDescent="0.2">
      <c r="B61" s="66" t="str">
        <f>IF($K60="","",IFERROR(INDEX(Configuración!$F$6:$F$11,MOD($K60,10)),""))</f>
        <v/>
      </c>
      <c r="C61" s="67" t="str">
        <f>IF(L60&gt;0,INDEX(Clases!$G$6:$G$65,L60)&amp;IF(AND(INDEX(Clases!$G$6:$G$65,L60)&lt;&gt;"",INDEX(Clases!$J$6:$J$65,L60)&lt;&gt;"")," · ","")&amp;IF(INDEX(Clases!$J$6:$J$65,L60)="","",INDEX(Clases!$J$6:$J$65,L60)&amp;" min"),IF(L60&lt;0,"Revisa la hoja «Clases»",""))</f>
        <v/>
      </c>
      <c r="D61" s="67" t="str">
        <f>IF(M60&gt;0,INDEX(Clases!$G$6:$G$65,M60)&amp;IF(AND(INDEX(Clases!$G$6:$G$65,M60)&lt;&gt;"",INDEX(Clases!$J$6:$J$65,M60)&lt;&gt;"")," · ","")&amp;IF(INDEX(Clases!$J$6:$J$65,M60)="","",INDEX(Clases!$J$6:$J$65,M60)&amp;" min"),IF(M60&lt;0,"Revisa la hoja «Clases»",""))</f>
        <v/>
      </c>
      <c r="E61" s="67" t="str">
        <f>IF(N60&gt;0,INDEX(Clases!$G$6:$G$65,N60)&amp;IF(AND(INDEX(Clases!$G$6:$G$65,N60)&lt;&gt;"",INDEX(Clases!$J$6:$J$65,N60)&lt;&gt;"")," · ","")&amp;IF(INDEX(Clases!$J$6:$J$65,N60)="","",INDEX(Clases!$J$6:$J$65,N60)&amp;" min"),IF(N60&lt;0,"Revisa la hoja «Clases»",""))</f>
        <v/>
      </c>
      <c r="F61" s="67" t="str">
        <f>IF(O60&gt;0,INDEX(Clases!$G$6:$G$65,O60)&amp;IF(AND(INDEX(Clases!$G$6:$G$65,O60)&lt;&gt;"",INDEX(Clases!$J$6:$J$65,O60)&lt;&gt;"")," · ","")&amp;IF(INDEX(Clases!$J$6:$J$65,O60)="","",INDEX(Clases!$J$6:$J$65,O60)&amp;" min"),IF(O60&lt;0,"Revisa la hoja «Clases»",""))</f>
        <v/>
      </c>
      <c r="G61" s="67" t="str">
        <f>IF(P60&gt;0,INDEX(Clases!$G$6:$G$65,P60)&amp;IF(AND(INDEX(Clases!$G$6:$G$65,P60)&lt;&gt;"",INDEX(Clases!$J$6:$J$65,P60)&lt;&gt;"")," · ","")&amp;IF(INDEX(Clases!$J$6:$J$65,P60)="","",INDEX(Clases!$J$6:$J$65,P60)&amp;" min"),IF(P60&lt;0,"Revisa la hoja «Clases»",""))</f>
        <v/>
      </c>
      <c r="H61" s="67" t="str">
        <f>IF(Q60&gt;0,INDEX(Clases!$G$6:$G$65,Q60)&amp;IF(AND(INDEX(Clases!$G$6:$G$65,Q60)&lt;&gt;"",INDEX(Clases!$J$6:$J$65,Q60)&lt;&gt;"")," · ","")&amp;IF(INDEX(Clases!$J$6:$J$65,Q60)="","",INDEX(Clases!$J$6:$J$65,Q60)&amp;" min"),IF(Q60&lt;0,"Revisa la hoja «Clases»",""))</f>
        <v/>
      </c>
      <c r="I61" s="67" t="str">
        <f>IF(R60&gt;0,INDEX(Clases!$G$6:$G$65,R60)&amp;IF(AND(INDEX(Clases!$G$6:$G$65,R60)&lt;&gt;"",INDEX(Clases!$J$6:$J$65,R60)&lt;&gt;"")," · ","")&amp;IF(INDEX(Clases!$J$6:$J$65,R60)="","",INDEX(Clases!$J$6:$J$65,R60)&amp;" min"),IF(R60&lt;0,"Revisa la hoja «Clases»",""))</f>
        <v/>
      </c>
      <c r="S61">
        <f t="shared" ref="S61:Y61" si="27">S60</f>
        <v>0</v>
      </c>
      <c r="T61">
        <f t="shared" si="27"/>
        <v>0</v>
      </c>
      <c r="U61">
        <f t="shared" si="27"/>
        <v>0</v>
      </c>
      <c r="V61">
        <f t="shared" si="27"/>
        <v>0</v>
      </c>
      <c r="W61">
        <f t="shared" si="27"/>
        <v>0</v>
      </c>
      <c r="X61">
        <f t="shared" si="27"/>
        <v>0</v>
      </c>
      <c r="Y61">
        <f t="shared" si="27"/>
        <v>0</v>
      </c>
    </row>
    <row r="62" spans="2:25" ht="20.5" customHeight="1" x14ac:dyDescent="0.2">
      <c r="B62" s="64" t="str">
        <f>IF($K62="","",INT($K62/10)/1440)</f>
        <v/>
      </c>
      <c r="C62" s="65" t="str">
        <f>IF(L62&gt;0,INDEX(Clases!$E$6:$E$65,L62),IF(L62&lt;0,"2 clases a la vez",""))</f>
        <v/>
      </c>
      <c r="D62" s="65" t="str">
        <f>IF(M62&gt;0,INDEX(Clases!$E$6:$E$65,M62),IF(M62&lt;0,"2 clases a la vez",""))</f>
        <v/>
      </c>
      <c r="E62" s="65" t="str">
        <f>IF(N62&gt;0,INDEX(Clases!$E$6:$E$65,N62),IF(N62&lt;0,"2 clases a la vez",""))</f>
        <v/>
      </c>
      <c r="F62" s="65" t="str">
        <f>IF(O62&gt;0,INDEX(Clases!$E$6:$E$65,O62),IF(O62&lt;0,"2 clases a la vez",""))</f>
        <v/>
      </c>
      <c r="G62" s="65" t="str">
        <f>IF(P62&gt;0,INDEX(Clases!$E$6:$E$65,P62),IF(P62&lt;0,"2 clases a la vez",""))</f>
        <v/>
      </c>
      <c r="H62" s="65" t="str">
        <f>IF(Q62&gt;0,INDEX(Clases!$E$6:$E$65,Q62),IF(Q62&lt;0,"2 clases a la vez",""))</f>
        <v/>
      </c>
      <c r="I62" s="65" t="str">
        <f>IF(R62&gt;0,INDEX(Clases!$E$6:$E$65,R62),IF(R62&lt;0,"2 clases a la vez",""))</f>
        <v/>
      </c>
      <c r="K62" t="str">
        <f>IF(K60="","",IFERROR(SMALL(Clases!$S$6:$S$65,COUNTIF(Clases!$S$6:$S$65,"&lt;="&amp;K60)+1),""))</f>
        <v/>
      </c>
      <c r="L62">
        <f>IF($K62="",0,IF(COUNTIF(Clases!$T$6:$T$65,1*100000+$K62)&gt;1,-1,IFERROR(MATCH(1*100000+$K62,Clases!$T$6:$T$65,0),0)))</f>
        <v>0</v>
      </c>
      <c r="M62">
        <f>IF($K62="",0,IF(COUNTIF(Clases!$T$6:$T$65,2*100000+$K62)&gt;1,-1,IFERROR(MATCH(2*100000+$K62,Clases!$T$6:$T$65,0),0)))</f>
        <v>0</v>
      </c>
      <c r="N62">
        <f>IF($K62="",0,IF(COUNTIF(Clases!$T$6:$T$65,3*100000+$K62)&gt;1,-1,IFERROR(MATCH(3*100000+$K62,Clases!$T$6:$T$65,0),0)))</f>
        <v>0</v>
      </c>
      <c r="O62">
        <f>IF($K62="",0,IF(COUNTIF(Clases!$T$6:$T$65,4*100000+$K62)&gt;1,-1,IFERROR(MATCH(4*100000+$K62,Clases!$T$6:$T$65,0),0)))</f>
        <v>0</v>
      </c>
      <c r="P62">
        <f>IF($K62="",0,IF(COUNTIF(Clases!$T$6:$T$65,5*100000+$K62)&gt;1,-1,IFERROR(MATCH(5*100000+$K62,Clases!$T$6:$T$65,0),0)))</f>
        <v>0</v>
      </c>
      <c r="Q62">
        <f>IF($K62="",0,IF(COUNTIF(Clases!$T$6:$T$65,6*100000+$K62)&gt;1,-1,IFERROR(MATCH(6*100000+$K62,Clases!$T$6:$T$65,0),0)))</f>
        <v>0</v>
      </c>
      <c r="R62">
        <f>IF($K62="",0,IF(COUNTIF(Clases!$T$6:$T$65,7*100000+$K62)&gt;1,-1,IFERROR(MATCH(7*100000+$K62,Clases!$T$6:$T$65,0),0)))</f>
        <v>0</v>
      </c>
      <c r="S62">
        <f>IF(L62&gt;0,N(INDEX(Clases!$U$6:$U$65,L62)),IF(L62&lt;0,13,0))</f>
        <v>0</v>
      </c>
      <c r="T62">
        <f>IF(M62&gt;0,N(INDEX(Clases!$U$6:$U$65,M62)),IF(M62&lt;0,13,0))</f>
        <v>0</v>
      </c>
      <c r="U62">
        <f>IF(N62&gt;0,N(INDEX(Clases!$U$6:$U$65,N62)),IF(N62&lt;0,13,0))</f>
        <v>0</v>
      </c>
      <c r="V62">
        <f>IF(O62&gt;0,N(INDEX(Clases!$U$6:$U$65,O62)),IF(O62&lt;0,13,0))</f>
        <v>0</v>
      </c>
      <c r="W62">
        <f>IF(P62&gt;0,N(INDEX(Clases!$U$6:$U$65,P62)),IF(P62&lt;0,13,0))</f>
        <v>0</v>
      </c>
      <c r="X62">
        <f>IF(Q62&gt;0,N(INDEX(Clases!$U$6:$U$65,Q62)),IF(Q62&lt;0,13,0))</f>
        <v>0</v>
      </c>
      <c r="Y62">
        <f>IF(R62&gt;0,N(INDEX(Clases!$U$6:$U$65,R62)),IF(R62&lt;0,13,0))</f>
        <v>0</v>
      </c>
    </row>
    <row r="63" spans="2:25" ht="16" customHeight="1" x14ac:dyDescent="0.2">
      <c r="B63" s="66" t="str">
        <f>IF($K62="","",IFERROR(INDEX(Configuración!$F$6:$F$11,MOD($K62,10)),""))</f>
        <v/>
      </c>
      <c r="C63" s="67" t="str">
        <f>IF(L62&gt;0,INDEX(Clases!$G$6:$G$65,L62)&amp;IF(AND(INDEX(Clases!$G$6:$G$65,L62)&lt;&gt;"",INDEX(Clases!$J$6:$J$65,L62)&lt;&gt;"")," · ","")&amp;IF(INDEX(Clases!$J$6:$J$65,L62)="","",INDEX(Clases!$J$6:$J$65,L62)&amp;" min"),IF(L62&lt;0,"Revisa la hoja «Clases»",""))</f>
        <v/>
      </c>
      <c r="D63" s="67" t="str">
        <f>IF(M62&gt;0,INDEX(Clases!$G$6:$G$65,M62)&amp;IF(AND(INDEX(Clases!$G$6:$G$65,M62)&lt;&gt;"",INDEX(Clases!$J$6:$J$65,M62)&lt;&gt;"")," · ","")&amp;IF(INDEX(Clases!$J$6:$J$65,M62)="","",INDEX(Clases!$J$6:$J$65,M62)&amp;" min"),IF(M62&lt;0,"Revisa la hoja «Clases»",""))</f>
        <v/>
      </c>
      <c r="E63" s="67" t="str">
        <f>IF(N62&gt;0,INDEX(Clases!$G$6:$G$65,N62)&amp;IF(AND(INDEX(Clases!$G$6:$G$65,N62)&lt;&gt;"",INDEX(Clases!$J$6:$J$65,N62)&lt;&gt;"")," · ","")&amp;IF(INDEX(Clases!$J$6:$J$65,N62)="","",INDEX(Clases!$J$6:$J$65,N62)&amp;" min"),IF(N62&lt;0,"Revisa la hoja «Clases»",""))</f>
        <v/>
      </c>
      <c r="F63" s="67" t="str">
        <f>IF(O62&gt;0,INDEX(Clases!$G$6:$G$65,O62)&amp;IF(AND(INDEX(Clases!$G$6:$G$65,O62)&lt;&gt;"",INDEX(Clases!$J$6:$J$65,O62)&lt;&gt;"")," · ","")&amp;IF(INDEX(Clases!$J$6:$J$65,O62)="","",INDEX(Clases!$J$6:$J$65,O62)&amp;" min"),IF(O62&lt;0,"Revisa la hoja «Clases»",""))</f>
        <v/>
      </c>
      <c r="G63" s="67" t="str">
        <f>IF(P62&gt;0,INDEX(Clases!$G$6:$G$65,P62)&amp;IF(AND(INDEX(Clases!$G$6:$G$65,P62)&lt;&gt;"",INDEX(Clases!$J$6:$J$65,P62)&lt;&gt;"")," · ","")&amp;IF(INDEX(Clases!$J$6:$J$65,P62)="","",INDEX(Clases!$J$6:$J$65,P62)&amp;" min"),IF(P62&lt;0,"Revisa la hoja «Clases»",""))</f>
        <v/>
      </c>
      <c r="H63" s="67" t="str">
        <f>IF(Q62&gt;0,INDEX(Clases!$G$6:$G$65,Q62)&amp;IF(AND(INDEX(Clases!$G$6:$G$65,Q62)&lt;&gt;"",INDEX(Clases!$J$6:$J$65,Q62)&lt;&gt;"")," · ","")&amp;IF(INDEX(Clases!$J$6:$J$65,Q62)="","",INDEX(Clases!$J$6:$J$65,Q62)&amp;" min"),IF(Q62&lt;0,"Revisa la hoja «Clases»",""))</f>
        <v/>
      </c>
      <c r="I63" s="67" t="str">
        <f>IF(R62&gt;0,INDEX(Clases!$G$6:$G$65,R62)&amp;IF(AND(INDEX(Clases!$G$6:$G$65,R62)&lt;&gt;"",INDEX(Clases!$J$6:$J$65,R62)&lt;&gt;"")," · ","")&amp;IF(INDEX(Clases!$J$6:$J$65,R62)="","",INDEX(Clases!$J$6:$J$65,R62)&amp;" min"),IF(R62&lt;0,"Revisa la hoja «Clases»",""))</f>
        <v/>
      </c>
      <c r="S63">
        <f t="shared" ref="S63:Y63" si="28">S62</f>
        <v>0</v>
      </c>
      <c r="T63">
        <f t="shared" si="28"/>
        <v>0</v>
      </c>
      <c r="U63">
        <f t="shared" si="28"/>
        <v>0</v>
      </c>
      <c r="V63">
        <f t="shared" si="28"/>
        <v>0</v>
      </c>
      <c r="W63">
        <f t="shared" si="28"/>
        <v>0</v>
      </c>
      <c r="X63">
        <f t="shared" si="28"/>
        <v>0</v>
      </c>
      <c r="Y63">
        <f t="shared" si="28"/>
        <v>0</v>
      </c>
    </row>
    <row r="64" spans="2:25" ht="20.5" customHeight="1" x14ac:dyDescent="0.2">
      <c r="B64" s="64" t="str">
        <f>IF($K64="","",INT($K64/10)/1440)</f>
        <v/>
      </c>
      <c r="C64" s="65" t="str">
        <f>IF(L64&gt;0,INDEX(Clases!$E$6:$E$65,L64),IF(L64&lt;0,"2 clases a la vez",""))</f>
        <v/>
      </c>
      <c r="D64" s="65" t="str">
        <f>IF(M64&gt;0,INDEX(Clases!$E$6:$E$65,M64),IF(M64&lt;0,"2 clases a la vez",""))</f>
        <v/>
      </c>
      <c r="E64" s="65" t="str">
        <f>IF(N64&gt;0,INDEX(Clases!$E$6:$E$65,N64),IF(N64&lt;0,"2 clases a la vez",""))</f>
        <v/>
      </c>
      <c r="F64" s="65" t="str">
        <f>IF(O64&gt;0,INDEX(Clases!$E$6:$E$65,O64),IF(O64&lt;0,"2 clases a la vez",""))</f>
        <v/>
      </c>
      <c r="G64" s="65" t="str">
        <f>IF(P64&gt;0,INDEX(Clases!$E$6:$E$65,P64),IF(P64&lt;0,"2 clases a la vez",""))</f>
        <v/>
      </c>
      <c r="H64" s="65" t="str">
        <f>IF(Q64&gt;0,INDEX(Clases!$E$6:$E$65,Q64),IF(Q64&lt;0,"2 clases a la vez",""))</f>
        <v/>
      </c>
      <c r="I64" s="65" t="str">
        <f>IF(R64&gt;0,INDEX(Clases!$E$6:$E$65,R64),IF(R64&lt;0,"2 clases a la vez",""))</f>
        <v/>
      </c>
      <c r="K64" t="str">
        <f>IF(K62="","",IFERROR(SMALL(Clases!$S$6:$S$65,COUNTIF(Clases!$S$6:$S$65,"&lt;="&amp;K62)+1),""))</f>
        <v/>
      </c>
      <c r="L64">
        <f>IF($K64="",0,IF(COUNTIF(Clases!$T$6:$T$65,1*100000+$K64)&gt;1,-1,IFERROR(MATCH(1*100000+$K64,Clases!$T$6:$T$65,0),0)))</f>
        <v>0</v>
      </c>
      <c r="M64">
        <f>IF($K64="",0,IF(COUNTIF(Clases!$T$6:$T$65,2*100000+$K64)&gt;1,-1,IFERROR(MATCH(2*100000+$K64,Clases!$T$6:$T$65,0),0)))</f>
        <v>0</v>
      </c>
      <c r="N64">
        <f>IF($K64="",0,IF(COUNTIF(Clases!$T$6:$T$65,3*100000+$K64)&gt;1,-1,IFERROR(MATCH(3*100000+$K64,Clases!$T$6:$T$65,0),0)))</f>
        <v>0</v>
      </c>
      <c r="O64">
        <f>IF($K64="",0,IF(COUNTIF(Clases!$T$6:$T$65,4*100000+$K64)&gt;1,-1,IFERROR(MATCH(4*100000+$K64,Clases!$T$6:$T$65,0),0)))</f>
        <v>0</v>
      </c>
      <c r="P64">
        <f>IF($K64="",0,IF(COUNTIF(Clases!$T$6:$T$65,5*100000+$K64)&gt;1,-1,IFERROR(MATCH(5*100000+$K64,Clases!$T$6:$T$65,0),0)))</f>
        <v>0</v>
      </c>
      <c r="Q64">
        <f>IF($K64="",0,IF(COUNTIF(Clases!$T$6:$T$65,6*100000+$K64)&gt;1,-1,IFERROR(MATCH(6*100000+$K64,Clases!$T$6:$T$65,0),0)))</f>
        <v>0</v>
      </c>
      <c r="R64">
        <f>IF($K64="",0,IF(COUNTIF(Clases!$T$6:$T$65,7*100000+$K64)&gt;1,-1,IFERROR(MATCH(7*100000+$K64,Clases!$T$6:$T$65,0),0)))</f>
        <v>0</v>
      </c>
      <c r="S64">
        <f>IF(L64&gt;0,N(INDEX(Clases!$U$6:$U$65,L64)),IF(L64&lt;0,13,0))</f>
        <v>0</v>
      </c>
      <c r="T64">
        <f>IF(M64&gt;0,N(INDEX(Clases!$U$6:$U$65,M64)),IF(M64&lt;0,13,0))</f>
        <v>0</v>
      </c>
      <c r="U64">
        <f>IF(N64&gt;0,N(INDEX(Clases!$U$6:$U$65,N64)),IF(N64&lt;0,13,0))</f>
        <v>0</v>
      </c>
      <c r="V64">
        <f>IF(O64&gt;0,N(INDEX(Clases!$U$6:$U$65,O64)),IF(O64&lt;0,13,0))</f>
        <v>0</v>
      </c>
      <c r="W64">
        <f>IF(P64&gt;0,N(INDEX(Clases!$U$6:$U$65,P64)),IF(P64&lt;0,13,0))</f>
        <v>0</v>
      </c>
      <c r="X64">
        <f>IF(Q64&gt;0,N(INDEX(Clases!$U$6:$U$65,Q64)),IF(Q64&lt;0,13,0))</f>
        <v>0</v>
      </c>
      <c r="Y64">
        <f>IF(R64&gt;0,N(INDEX(Clases!$U$6:$U$65,R64)),IF(R64&lt;0,13,0))</f>
        <v>0</v>
      </c>
    </row>
    <row r="65" spans="2:25" ht="16" customHeight="1" x14ac:dyDescent="0.2">
      <c r="B65" s="66" t="str">
        <f>IF($K64="","",IFERROR(INDEX(Configuración!$F$6:$F$11,MOD($K64,10)),""))</f>
        <v/>
      </c>
      <c r="C65" s="67" t="str">
        <f>IF(L64&gt;0,INDEX(Clases!$G$6:$G$65,L64)&amp;IF(AND(INDEX(Clases!$G$6:$G$65,L64)&lt;&gt;"",INDEX(Clases!$J$6:$J$65,L64)&lt;&gt;"")," · ","")&amp;IF(INDEX(Clases!$J$6:$J$65,L64)="","",INDEX(Clases!$J$6:$J$65,L64)&amp;" min"),IF(L64&lt;0,"Revisa la hoja «Clases»",""))</f>
        <v/>
      </c>
      <c r="D65" s="67" t="str">
        <f>IF(M64&gt;0,INDEX(Clases!$G$6:$G$65,M64)&amp;IF(AND(INDEX(Clases!$G$6:$G$65,M64)&lt;&gt;"",INDEX(Clases!$J$6:$J$65,M64)&lt;&gt;"")," · ","")&amp;IF(INDEX(Clases!$J$6:$J$65,M64)="","",INDEX(Clases!$J$6:$J$65,M64)&amp;" min"),IF(M64&lt;0,"Revisa la hoja «Clases»",""))</f>
        <v/>
      </c>
      <c r="E65" s="67" t="str">
        <f>IF(N64&gt;0,INDEX(Clases!$G$6:$G$65,N64)&amp;IF(AND(INDEX(Clases!$G$6:$G$65,N64)&lt;&gt;"",INDEX(Clases!$J$6:$J$65,N64)&lt;&gt;"")," · ","")&amp;IF(INDEX(Clases!$J$6:$J$65,N64)="","",INDEX(Clases!$J$6:$J$65,N64)&amp;" min"),IF(N64&lt;0,"Revisa la hoja «Clases»",""))</f>
        <v/>
      </c>
      <c r="F65" s="67" t="str">
        <f>IF(O64&gt;0,INDEX(Clases!$G$6:$G$65,O64)&amp;IF(AND(INDEX(Clases!$G$6:$G$65,O64)&lt;&gt;"",INDEX(Clases!$J$6:$J$65,O64)&lt;&gt;"")," · ","")&amp;IF(INDEX(Clases!$J$6:$J$65,O64)="","",INDEX(Clases!$J$6:$J$65,O64)&amp;" min"),IF(O64&lt;0,"Revisa la hoja «Clases»",""))</f>
        <v/>
      </c>
      <c r="G65" s="67" t="str">
        <f>IF(P64&gt;0,INDEX(Clases!$G$6:$G$65,P64)&amp;IF(AND(INDEX(Clases!$G$6:$G$65,P64)&lt;&gt;"",INDEX(Clases!$J$6:$J$65,P64)&lt;&gt;"")," · ","")&amp;IF(INDEX(Clases!$J$6:$J$65,P64)="","",INDEX(Clases!$J$6:$J$65,P64)&amp;" min"),IF(P64&lt;0,"Revisa la hoja «Clases»",""))</f>
        <v/>
      </c>
      <c r="H65" s="67" t="str">
        <f>IF(Q64&gt;0,INDEX(Clases!$G$6:$G$65,Q64)&amp;IF(AND(INDEX(Clases!$G$6:$G$65,Q64)&lt;&gt;"",INDEX(Clases!$J$6:$J$65,Q64)&lt;&gt;"")," · ","")&amp;IF(INDEX(Clases!$J$6:$J$65,Q64)="","",INDEX(Clases!$J$6:$J$65,Q64)&amp;" min"),IF(Q64&lt;0,"Revisa la hoja «Clases»",""))</f>
        <v/>
      </c>
      <c r="I65" s="67" t="str">
        <f>IF(R64&gt;0,INDEX(Clases!$G$6:$G$65,R64)&amp;IF(AND(INDEX(Clases!$G$6:$G$65,R64)&lt;&gt;"",INDEX(Clases!$J$6:$J$65,R64)&lt;&gt;"")," · ","")&amp;IF(INDEX(Clases!$J$6:$J$65,R64)="","",INDEX(Clases!$J$6:$J$65,R64)&amp;" min"),IF(R64&lt;0,"Revisa la hoja «Clases»",""))</f>
        <v/>
      </c>
      <c r="S65">
        <f t="shared" ref="S65:Y65" si="29">S64</f>
        <v>0</v>
      </c>
      <c r="T65">
        <f t="shared" si="29"/>
        <v>0</v>
      </c>
      <c r="U65">
        <f t="shared" si="29"/>
        <v>0</v>
      </c>
      <c r="V65">
        <f t="shared" si="29"/>
        <v>0</v>
      </c>
      <c r="W65">
        <f t="shared" si="29"/>
        <v>0</v>
      </c>
      <c r="X65">
        <f t="shared" si="29"/>
        <v>0</v>
      </c>
      <c r="Y65">
        <f t="shared" si="29"/>
        <v>0</v>
      </c>
    </row>
  </sheetData>
  <mergeCells count="4">
    <mergeCell ref="B2:F2"/>
    <mergeCell ref="C4:I4"/>
    <mergeCell ref="G1:I2"/>
    <mergeCell ref="B1:F1"/>
  </mergeCells>
  <conditionalFormatting sqref="C6:I65">
    <cfRule type="expression" dxfId="79" priority="1">
      <formula>S6=1</formula>
    </cfRule>
    <cfRule type="expression" dxfId="78" priority="2">
      <formula>S6=2</formula>
    </cfRule>
    <cfRule type="expression" dxfId="77" priority="3">
      <formula>S6=3</formula>
    </cfRule>
    <cfRule type="expression" dxfId="76" priority="4">
      <formula>S6=4</formula>
    </cfRule>
    <cfRule type="expression" dxfId="75" priority="5">
      <formula>S6=5</formula>
    </cfRule>
    <cfRule type="expression" dxfId="74" priority="6">
      <formula>S6=6</formula>
    </cfRule>
    <cfRule type="expression" dxfId="73" priority="7">
      <formula>S6=7</formula>
    </cfRule>
    <cfRule type="expression" dxfId="72" priority="8">
      <formula>S6=8</formula>
    </cfRule>
    <cfRule type="expression" dxfId="71" priority="9">
      <formula>S6=9</formula>
    </cfRule>
    <cfRule type="expression" dxfId="70" priority="10">
      <formula>S6=10</formula>
    </cfRule>
    <cfRule type="expression" dxfId="69" priority="11">
      <formula>S6=11</formula>
    </cfRule>
    <cfRule type="expression" dxfId="68" priority="12">
      <formula>S6=12</formula>
    </cfRule>
    <cfRule type="expression" dxfId="67" priority="13">
      <formula>S6=13</formula>
    </cfRule>
  </conditionalFormatting>
  <printOptions horizontalCentered="1"/>
  <pageMargins left="0.3" right="0.3" top="0.45" bottom="0.55000000000000004" header="0.2" footer="0.25"/>
  <pageSetup paperSize="9" orientation="landscape"/>
  <headerFooter>
    <oddFooter>&amp;L&amp;"Arial,Regular"&amp;7 &amp;K5C697D&amp;A&amp;C&amp;"Arial,Regular"&amp;7 &amp;K5C697DPlantilla gratuita de GymGym · gymgym.es/recursos&amp;R&amp;"Arial,Regular"&amp;7 &amp;K5C697DPágina &amp;P de &amp;N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DD6C1"/>
    <pageSetUpPr fitToPage="1"/>
  </sheetPr>
  <dimension ref="B1:W68"/>
  <sheetViews>
    <sheetView showGridLines="0" workbookViewId="0">
      <pane xSplit="7" ySplit="8" topLeftCell="H9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.5" customWidth="1"/>
    <col min="2" max="2" width="6" customWidth="1"/>
    <col min="3" max="3" width="11" customWidth="1"/>
    <col min="4" max="4" width="7.5" customWidth="1"/>
    <col min="5" max="5" width="17" customWidth="1"/>
    <col min="6" max="6" width="10" customWidth="1"/>
    <col min="7" max="7" width="8" customWidth="1"/>
    <col min="8" max="19" width="10.5" customWidth="1"/>
    <col min="20" max="20" width="9" customWidth="1"/>
    <col min="21" max="21" width="11.5" customWidth="1"/>
    <col min="22" max="23" width="13" hidden="1" customWidth="1"/>
  </cols>
  <sheetData>
    <row r="1" spans="2:23" ht="30" customHeight="1" x14ac:dyDescent="0.25">
      <c r="B1" s="22" t="s">
        <v>118</v>
      </c>
      <c r="W1" s="68">
        <f>Configuración!$C$18</f>
        <v>0.4</v>
      </c>
    </row>
    <row r="2" spans="2:23" ht="18" customHeight="1" x14ac:dyDescent="0.2">
      <c r="B2" s="23" t="s">
        <v>119</v>
      </c>
      <c r="W2" s="68">
        <f>Configuración!$C$19</f>
        <v>0.65</v>
      </c>
    </row>
    <row r="3" spans="2:23" ht="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W3" s="68">
        <f>Configuración!$C$20</f>
        <v>0.9</v>
      </c>
    </row>
    <row r="4" spans="2:23" hidden="1" x14ac:dyDescent="0.2">
      <c r="H4">
        <f t="shared" ref="H4:S4" si="0">IF(COUNT(H9:H68)&gt;0,H5,0)</f>
        <v>1</v>
      </c>
      <c r="I4">
        <f t="shared" si="0"/>
        <v>2</v>
      </c>
      <c r="J4">
        <f t="shared" si="0"/>
        <v>3</v>
      </c>
      <c r="K4">
        <f t="shared" si="0"/>
        <v>4</v>
      </c>
      <c r="L4">
        <f t="shared" si="0"/>
        <v>5</v>
      </c>
      <c r="M4">
        <f t="shared" si="0"/>
        <v>6</v>
      </c>
      <c r="N4">
        <f t="shared" si="0"/>
        <v>7</v>
      </c>
      <c r="O4">
        <f t="shared" si="0"/>
        <v>8</v>
      </c>
      <c r="P4">
        <f t="shared" si="0"/>
        <v>9</v>
      </c>
      <c r="Q4">
        <f t="shared" si="0"/>
        <v>10</v>
      </c>
      <c r="R4">
        <f t="shared" si="0"/>
        <v>11</v>
      </c>
      <c r="S4">
        <f t="shared" si="0"/>
        <v>12</v>
      </c>
      <c r="T4">
        <f>MAX(H4:S4)</f>
        <v>12</v>
      </c>
      <c r="U4">
        <f>COUNTIF(H4:S4,"&gt;0")</f>
        <v>12</v>
      </c>
      <c r="W4" s="68">
        <f>Configuración!$C$21</f>
        <v>-0.15</v>
      </c>
    </row>
    <row r="5" spans="2:23" ht="24" customHeight="1" x14ac:dyDescent="0.2">
      <c r="B5" s="56" t="s">
        <v>94</v>
      </c>
      <c r="C5" s="56" t="s">
        <v>95</v>
      </c>
      <c r="D5" s="56" t="s">
        <v>117</v>
      </c>
      <c r="E5" s="56" t="s">
        <v>74</v>
      </c>
      <c r="F5" s="56" t="s">
        <v>40</v>
      </c>
      <c r="G5" s="56" t="s">
        <v>98</v>
      </c>
      <c r="H5" s="69">
        <v>1</v>
      </c>
      <c r="I5" s="69">
        <v>2</v>
      </c>
      <c r="J5" s="69">
        <v>3</v>
      </c>
      <c r="K5" s="69">
        <v>4</v>
      </c>
      <c r="L5" s="69">
        <v>5</v>
      </c>
      <c r="M5" s="69">
        <v>6</v>
      </c>
      <c r="N5" s="69">
        <v>7</v>
      </c>
      <c r="O5" s="69">
        <v>8</v>
      </c>
      <c r="P5" s="69">
        <v>9</v>
      </c>
      <c r="Q5" s="69">
        <v>10</v>
      </c>
      <c r="R5" s="69">
        <v>11</v>
      </c>
      <c r="S5" s="69">
        <v>12</v>
      </c>
      <c r="T5" s="56" t="s">
        <v>120</v>
      </c>
      <c r="U5" s="56" t="s">
        <v>121</v>
      </c>
    </row>
    <row r="6" spans="2:23" ht="16" customHeight="1" x14ac:dyDescent="0.2">
      <c r="B6" s="70"/>
      <c r="C6" s="71" t="s">
        <v>122</v>
      </c>
      <c r="D6" s="70"/>
      <c r="E6" s="70"/>
      <c r="F6" s="70"/>
      <c r="G6" s="70"/>
      <c r="H6" s="72">
        <f>Configuración!$C$9+7*(H5-1)</f>
        <v>46244</v>
      </c>
      <c r="I6" s="72">
        <f>Configuración!$C$9+7*(I5-1)</f>
        <v>46251</v>
      </c>
      <c r="J6" s="72">
        <f>Configuración!$C$9+7*(J5-1)</f>
        <v>46258</v>
      </c>
      <c r="K6" s="72">
        <f>Configuración!$C$9+7*(K5-1)</f>
        <v>46265</v>
      </c>
      <c r="L6" s="72">
        <f>Configuración!$C$9+7*(L5-1)</f>
        <v>46272</v>
      </c>
      <c r="M6" s="72">
        <f>Configuración!$C$9+7*(M5-1)</f>
        <v>46279</v>
      </c>
      <c r="N6" s="72">
        <f>Configuración!$C$9+7*(N5-1)</f>
        <v>46286</v>
      </c>
      <c r="O6" s="72">
        <f>Configuración!$C$9+7*(O5-1)</f>
        <v>46293</v>
      </c>
      <c r="P6" s="72">
        <f>Configuración!$C$9+7*(P5-1)</f>
        <v>46300</v>
      </c>
      <c r="Q6" s="72">
        <f>Configuración!$C$9+7*(Q5-1)</f>
        <v>46307</v>
      </c>
      <c r="R6" s="72">
        <f>Configuración!$C$9+7*(R5-1)</f>
        <v>46314</v>
      </c>
      <c r="S6" s="72">
        <f>Configuración!$C$9+7*(S5-1)</f>
        <v>46321</v>
      </c>
      <c r="T6" s="70"/>
      <c r="U6" s="70"/>
    </row>
    <row r="7" spans="2:23" ht="18" customHeight="1" x14ac:dyDescent="0.2">
      <c r="B7" s="158" t="s">
        <v>123</v>
      </c>
      <c r="C7" s="142"/>
      <c r="D7" s="142"/>
      <c r="E7" s="142"/>
      <c r="F7" s="142"/>
      <c r="G7" s="142"/>
      <c r="H7" s="73">
        <f t="shared" ref="H7:S7" si="1">IF(COUNT(H9:H68)=0,"",SUM(H9:H68))</f>
        <v>301</v>
      </c>
      <c r="I7" s="73">
        <f t="shared" si="1"/>
        <v>308</v>
      </c>
      <c r="J7" s="73">
        <f t="shared" si="1"/>
        <v>322</v>
      </c>
      <c r="K7" s="73">
        <f t="shared" si="1"/>
        <v>348</v>
      </c>
      <c r="L7" s="73">
        <f t="shared" si="1"/>
        <v>357</v>
      </c>
      <c r="M7" s="73">
        <f t="shared" si="1"/>
        <v>370</v>
      </c>
      <c r="N7" s="73">
        <f t="shared" si="1"/>
        <v>367</v>
      </c>
      <c r="O7" s="73">
        <f t="shared" si="1"/>
        <v>369</v>
      </c>
      <c r="P7" s="73">
        <f t="shared" si="1"/>
        <v>368</v>
      </c>
      <c r="Q7" s="73">
        <f t="shared" si="1"/>
        <v>301</v>
      </c>
      <c r="R7" s="73">
        <f t="shared" si="1"/>
        <v>364</v>
      </c>
      <c r="S7" s="73">
        <f t="shared" si="1"/>
        <v>364</v>
      </c>
      <c r="T7" s="74">
        <f>IFERROR(AVERAGE(H7:S7),"")</f>
        <v>344.91666666666669</v>
      </c>
      <c r="U7" s="75"/>
    </row>
    <row r="8" spans="2:23" ht="18" customHeight="1" x14ac:dyDescent="0.2">
      <c r="B8" s="158" t="s">
        <v>124</v>
      </c>
      <c r="C8" s="142"/>
      <c r="D8" s="142"/>
      <c r="E8" s="142"/>
      <c r="F8" s="142"/>
      <c r="G8" s="142"/>
      <c r="H8" s="76">
        <f t="shared" ref="H8:S8" si="2">IF(H7="","",IFERROR(H7/SUMIF(H9:H68,"&lt;&gt;",$G$9:$G$68),""))</f>
        <v>0.62708333333333333</v>
      </c>
      <c r="I8" s="76">
        <f t="shared" si="2"/>
        <v>0.60629921259842523</v>
      </c>
      <c r="J8" s="76">
        <f t="shared" si="2"/>
        <v>0.63385826771653542</v>
      </c>
      <c r="K8" s="76">
        <f t="shared" si="2"/>
        <v>0.68503937007874016</v>
      </c>
      <c r="L8" s="76">
        <f t="shared" si="2"/>
        <v>0.702755905511811</v>
      </c>
      <c r="M8" s="76">
        <f t="shared" si="2"/>
        <v>0.72834645669291342</v>
      </c>
      <c r="N8" s="76">
        <f t="shared" si="2"/>
        <v>0.72244094488188981</v>
      </c>
      <c r="O8" s="76">
        <f t="shared" si="2"/>
        <v>0.72637795275590555</v>
      </c>
      <c r="P8" s="76">
        <f t="shared" si="2"/>
        <v>0.72440944881889768</v>
      </c>
      <c r="Q8" s="76">
        <f t="shared" si="2"/>
        <v>0.73774509803921573</v>
      </c>
      <c r="R8" s="76">
        <f t="shared" si="2"/>
        <v>0.71653543307086609</v>
      </c>
      <c r="S8" s="76">
        <f t="shared" si="2"/>
        <v>0.7338709677419355</v>
      </c>
      <c r="T8" s="75"/>
      <c r="U8" s="76">
        <f>IFERROR(SUM(H7:S7)/(SUMIF(H9:H68,"&lt;&gt;",$G$9:$G$68)+SUMIF(I9:I68,"&lt;&gt;",$G$9:$G$68)+SUMIF(J9:J68,"&lt;&gt;",$G$9:$G$68)+SUMIF(K9:K68,"&lt;&gt;",$G$9:$G$68)+SUMIF(L9:L68,"&lt;&gt;",$G$9:$G$68)+SUMIF(M9:M68,"&lt;&gt;",$G$9:$G$68)+SUMIF(N9:N68,"&lt;&gt;",$G$9:$G$68)+SUMIF(O9:O68,"&lt;&gt;",$G$9:$G$68)+SUMIF(P9:P68,"&lt;&gt;",$G$9:$G$68)+SUMIF(Q9:Q68,"&lt;&gt;",$G$9:$G$68)+SUMIF(R9:R68,"&lt;&gt;",$G$9:$G$68)+SUMIF(S9:S68,"&lt;&gt;",$G$9:$G$68)),"")</f>
        <v>0.69492948287441236</v>
      </c>
    </row>
    <row r="9" spans="2:23" ht="17" customHeight="1" x14ac:dyDescent="0.2">
      <c r="B9" s="57">
        <f>IF(Clases!$B6="","",Clases!$B6)</f>
        <v>1</v>
      </c>
      <c r="C9" s="60" t="str">
        <f>IF($B9="","",Clases!C6)</f>
        <v>Lunes</v>
      </c>
      <c r="D9" s="59">
        <f>IF($B9="","",Clases!D6)</f>
        <v>0.29166666666666669</v>
      </c>
      <c r="E9" s="60" t="str">
        <f>IF($B9="","",Clases!E6)</f>
        <v>Cross training</v>
      </c>
      <c r="F9" s="60" t="str">
        <f>IF($B9="","",Clases!F6)</f>
        <v>Box</v>
      </c>
      <c r="G9" s="32">
        <f>IF($B9="","",Clases!I6)</f>
        <v>16</v>
      </c>
      <c r="H9" s="31">
        <v>12</v>
      </c>
      <c r="I9" s="31">
        <v>13</v>
      </c>
      <c r="J9" s="31">
        <v>12</v>
      </c>
      <c r="K9" s="31">
        <v>14</v>
      </c>
      <c r="L9" s="31">
        <v>16</v>
      </c>
      <c r="M9" s="31">
        <v>16</v>
      </c>
      <c r="N9" s="31">
        <v>16</v>
      </c>
      <c r="O9" s="31">
        <v>15</v>
      </c>
      <c r="P9" s="31">
        <v>16</v>
      </c>
      <c r="Q9" s="31"/>
      <c r="R9" s="31">
        <v>16</v>
      </c>
      <c r="S9" s="31">
        <v>16</v>
      </c>
      <c r="T9" s="77">
        <f t="shared" ref="T9:T40" si="3">IF(OR($B9="",COUNT(H9:S9)=0),"",AVERAGE(H9:S9))</f>
        <v>14.727272727272727</v>
      </c>
      <c r="U9" s="78">
        <f t="shared" ref="U9:U40" si="4">IF(OR(T9="",N(G9)=0),"",T9/G9)</f>
        <v>0.92045454545454541</v>
      </c>
      <c r="V9">
        <f>N(Clases!U6)</f>
        <v>1</v>
      </c>
    </row>
    <row r="10" spans="2:23" ht="17" customHeight="1" x14ac:dyDescent="0.2">
      <c r="B10" s="57">
        <f>IF(Clases!$B7="","",Clases!$B7)</f>
        <v>2</v>
      </c>
      <c r="C10" s="60" t="str">
        <f>IF($B10="","",Clases!C7)</f>
        <v>Lunes</v>
      </c>
      <c r="D10" s="59">
        <f>IF($B10="","",Clases!D7)</f>
        <v>0.375</v>
      </c>
      <c r="E10" s="60" t="str">
        <f>IF($B10="","",Clases!E7)</f>
        <v>Pilates</v>
      </c>
      <c r="F10" s="60" t="str">
        <f>IF($B10="","",Clases!F7)</f>
        <v>Estudio</v>
      </c>
      <c r="G10" s="32">
        <f>IF($B10="","",Clases!I7)</f>
        <v>12</v>
      </c>
      <c r="H10" s="31">
        <v>8</v>
      </c>
      <c r="I10" s="31">
        <v>8</v>
      </c>
      <c r="J10" s="31">
        <v>8</v>
      </c>
      <c r="K10" s="31">
        <v>8</v>
      </c>
      <c r="L10" s="31">
        <v>10</v>
      </c>
      <c r="M10" s="31">
        <v>11</v>
      </c>
      <c r="N10" s="31">
        <v>8</v>
      </c>
      <c r="O10" s="31">
        <v>10</v>
      </c>
      <c r="P10" s="31">
        <v>10</v>
      </c>
      <c r="Q10" s="31"/>
      <c r="R10" s="31">
        <v>11</v>
      </c>
      <c r="S10" s="31">
        <v>11</v>
      </c>
      <c r="T10" s="77">
        <f t="shared" si="3"/>
        <v>9.3636363636363633</v>
      </c>
      <c r="U10" s="78">
        <f t="shared" si="4"/>
        <v>0.78030303030303028</v>
      </c>
      <c r="V10">
        <f>N(Clases!U7)</f>
        <v>3</v>
      </c>
    </row>
    <row r="11" spans="2:23" ht="17" customHeight="1" x14ac:dyDescent="0.2">
      <c r="B11" s="57">
        <f>IF(Clases!$B8="","",Clases!$B8)</f>
        <v>3</v>
      </c>
      <c r="C11" s="60" t="str">
        <f>IF($B11="","",Clases!C8)</f>
        <v>Lunes</v>
      </c>
      <c r="D11" s="59">
        <f>IF($B11="","",Clases!D8)</f>
        <v>0.58333333333333337</v>
      </c>
      <c r="E11" s="60" t="str">
        <f>IF($B11="","",Clases!E8)</f>
        <v>HIIT</v>
      </c>
      <c r="F11" s="60" t="str">
        <f>IF($B11="","",Clases!F8)</f>
        <v>Box</v>
      </c>
      <c r="G11" s="32">
        <f>IF($B11="","",Clases!I8)</f>
        <v>16</v>
      </c>
      <c r="H11" s="31">
        <v>6</v>
      </c>
      <c r="I11" s="31">
        <v>7</v>
      </c>
      <c r="J11" s="31">
        <v>7</v>
      </c>
      <c r="K11" s="31">
        <v>6</v>
      </c>
      <c r="L11" s="31">
        <v>6</v>
      </c>
      <c r="M11" s="31">
        <v>6</v>
      </c>
      <c r="N11" s="31">
        <v>7</v>
      </c>
      <c r="O11" s="31">
        <v>5</v>
      </c>
      <c r="P11" s="31">
        <v>5</v>
      </c>
      <c r="Q11" s="31"/>
      <c r="R11" s="31">
        <v>4</v>
      </c>
      <c r="S11" s="31">
        <v>4</v>
      </c>
      <c r="T11" s="77">
        <f t="shared" si="3"/>
        <v>5.7272727272727275</v>
      </c>
      <c r="U11" s="78">
        <f t="shared" si="4"/>
        <v>0.35795454545454547</v>
      </c>
      <c r="V11">
        <f>N(Clases!U8)</f>
        <v>2</v>
      </c>
    </row>
    <row r="12" spans="2:23" ht="17" customHeight="1" x14ac:dyDescent="0.2">
      <c r="B12" s="57">
        <f>IF(Clases!$B9="","",Clases!$B9)</f>
        <v>4</v>
      </c>
      <c r="C12" s="60" t="str">
        <f>IF($B12="","",Clases!C9)</f>
        <v>Lunes</v>
      </c>
      <c r="D12" s="59">
        <f>IF($B12="","",Clases!D9)</f>
        <v>0.75</v>
      </c>
      <c r="E12" s="60" t="str">
        <f>IF($B12="","",Clases!E9)</f>
        <v>Pilates</v>
      </c>
      <c r="F12" s="60" t="str">
        <f>IF($B12="","",Clases!F9)</f>
        <v>Estudio</v>
      </c>
      <c r="G12" s="32">
        <f>IF($B12="","",Clases!I9)</f>
        <v>12</v>
      </c>
      <c r="H12" s="31">
        <v>7</v>
      </c>
      <c r="I12" s="31">
        <v>8</v>
      </c>
      <c r="J12" s="31">
        <v>8</v>
      </c>
      <c r="K12" s="31">
        <v>8</v>
      </c>
      <c r="L12" s="31">
        <v>8</v>
      </c>
      <c r="M12" s="31">
        <v>9</v>
      </c>
      <c r="N12" s="31">
        <v>9</v>
      </c>
      <c r="O12" s="31">
        <v>9</v>
      </c>
      <c r="P12" s="31">
        <v>9</v>
      </c>
      <c r="Q12" s="31"/>
      <c r="R12" s="31">
        <v>9</v>
      </c>
      <c r="S12" s="31">
        <v>9</v>
      </c>
      <c r="T12" s="77">
        <f t="shared" si="3"/>
        <v>8.454545454545455</v>
      </c>
      <c r="U12" s="78">
        <f t="shared" si="4"/>
        <v>0.70454545454545459</v>
      </c>
      <c r="V12">
        <f>N(Clases!U9)</f>
        <v>3</v>
      </c>
    </row>
    <row r="13" spans="2:23" ht="17" customHeight="1" x14ac:dyDescent="0.2">
      <c r="B13" s="57">
        <f>IF(Clases!$B10="","",Clases!$B10)</f>
        <v>5</v>
      </c>
      <c r="C13" s="60" t="str">
        <f>IF($B13="","",Clases!C10)</f>
        <v>Lunes</v>
      </c>
      <c r="D13" s="59">
        <f>IF($B13="","",Clases!D10)</f>
        <v>0.79166666666666663</v>
      </c>
      <c r="E13" s="60" t="str">
        <f>IF($B13="","",Clases!E10)</f>
        <v>Cross training</v>
      </c>
      <c r="F13" s="60" t="str">
        <f>IF($B13="","",Clases!F10)</f>
        <v>Box</v>
      </c>
      <c r="G13" s="32">
        <f>IF($B13="","",Clases!I10)</f>
        <v>16</v>
      </c>
      <c r="H13" s="31">
        <v>14</v>
      </c>
      <c r="I13" s="31">
        <v>12</v>
      </c>
      <c r="J13" s="31">
        <v>13</v>
      </c>
      <c r="K13" s="31">
        <v>14</v>
      </c>
      <c r="L13" s="31">
        <v>15</v>
      </c>
      <c r="M13" s="31">
        <v>16</v>
      </c>
      <c r="N13" s="31">
        <v>15</v>
      </c>
      <c r="O13" s="31">
        <v>16</v>
      </c>
      <c r="P13" s="31">
        <v>16</v>
      </c>
      <c r="Q13" s="31"/>
      <c r="R13" s="31">
        <v>16</v>
      </c>
      <c r="S13" s="31">
        <v>16</v>
      </c>
      <c r="T13" s="77">
        <f t="shared" si="3"/>
        <v>14.818181818181818</v>
      </c>
      <c r="U13" s="78">
        <f t="shared" si="4"/>
        <v>0.92613636363636365</v>
      </c>
      <c r="V13">
        <f>N(Clases!U10)</f>
        <v>1</v>
      </c>
    </row>
    <row r="14" spans="2:23" ht="17" customHeight="1" x14ac:dyDescent="0.2">
      <c r="B14" s="57">
        <f>IF(Clases!$B11="","",Clases!$B11)</f>
        <v>6</v>
      </c>
      <c r="C14" s="60" t="str">
        <f>IF($B14="","",Clases!C11)</f>
        <v>Lunes</v>
      </c>
      <c r="D14" s="59">
        <f>IF($B14="","",Clases!D11)</f>
        <v>0.79166666666666663</v>
      </c>
      <c r="E14" s="60" t="str">
        <f>IF($B14="","",Clases!E11)</f>
        <v>Ciclo indoor</v>
      </c>
      <c r="F14" s="60" t="str">
        <f>IF($B14="","",Clases!F11)</f>
        <v>Estudio</v>
      </c>
      <c r="G14" s="32">
        <f>IF($B14="","",Clases!I11)</f>
        <v>12</v>
      </c>
      <c r="H14" s="31">
        <v>9</v>
      </c>
      <c r="I14" s="31">
        <v>10</v>
      </c>
      <c r="J14" s="31">
        <v>11</v>
      </c>
      <c r="K14" s="31">
        <v>11</v>
      </c>
      <c r="L14" s="31">
        <v>11</v>
      </c>
      <c r="M14" s="31">
        <v>11</v>
      </c>
      <c r="N14" s="31">
        <v>11</v>
      </c>
      <c r="O14" s="31">
        <v>12</v>
      </c>
      <c r="P14" s="31">
        <v>11</v>
      </c>
      <c r="Q14" s="31"/>
      <c r="R14" s="31">
        <v>12</v>
      </c>
      <c r="S14" s="31">
        <v>12</v>
      </c>
      <c r="T14" s="77">
        <f t="shared" si="3"/>
        <v>11</v>
      </c>
      <c r="U14" s="78">
        <f t="shared" si="4"/>
        <v>0.91666666666666663</v>
      </c>
      <c r="V14">
        <f>N(Clases!U11)</f>
        <v>5</v>
      </c>
    </row>
    <row r="15" spans="2:23" ht="17" customHeight="1" x14ac:dyDescent="0.2">
      <c r="B15" s="57">
        <f>IF(Clases!$B12="","",Clases!$B12)</f>
        <v>7</v>
      </c>
      <c r="C15" s="60" t="str">
        <f>IF($B15="","",Clases!C12)</f>
        <v>Lunes</v>
      </c>
      <c r="D15" s="59">
        <f>IF($B15="","",Clases!D12)</f>
        <v>0.83333333333333337</v>
      </c>
      <c r="E15" s="60" t="str">
        <f>IF($B15="","",Clases!E12)</f>
        <v>Halterofilia</v>
      </c>
      <c r="F15" s="60" t="str">
        <f>IF($B15="","",Clases!F12)</f>
        <v>Box</v>
      </c>
      <c r="G15" s="32">
        <f>IF($B15="","",Clases!I12)</f>
        <v>16</v>
      </c>
      <c r="H15" s="31">
        <v>6</v>
      </c>
      <c r="I15" s="31">
        <v>7</v>
      </c>
      <c r="J15" s="31">
        <v>6</v>
      </c>
      <c r="K15" s="31">
        <v>9</v>
      </c>
      <c r="L15" s="31">
        <v>9</v>
      </c>
      <c r="M15" s="31">
        <v>8</v>
      </c>
      <c r="N15" s="31">
        <v>10</v>
      </c>
      <c r="O15" s="31">
        <v>8</v>
      </c>
      <c r="P15" s="31">
        <v>10</v>
      </c>
      <c r="Q15" s="31"/>
      <c r="R15" s="31">
        <v>9</v>
      </c>
      <c r="S15" s="31">
        <v>10</v>
      </c>
      <c r="T15" s="77">
        <f t="shared" si="3"/>
        <v>8.3636363636363633</v>
      </c>
      <c r="U15" s="78">
        <f t="shared" si="4"/>
        <v>0.52272727272727271</v>
      </c>
      <c r="V15">
        <f>N(Clases!U12)</f>
        <v>8</v>
      </c>
    </row>
    <row r="16" spans="2:23" ht="17" customHeight="1" x14ac:dyDescent="0.2">
      <c r="B16" s="57">
        <f>IF(Clases!$B13="","",Clases!$B13)</f>
        <v>8</v>
      </c>
      <c r="C16" s="60" t="str">
        <f>IF($B16="","",Clases!C13)</f>
        <v>Martes</v>
      </c>
      <c r="D16" s="59">
        <f>IF($B16="","",Clases!D13)</f>
        <v>0.29166666666666669</v>
      </c>
      <c r="E16" s="60" t="str">
        <f>IF($B16="","",Clases!E13)</f>
        <v>Cross training</v>
      </c>
      <c r="F16" s="60" t="str">
        <f>IF($B16="","",Clases!F13)</f>
        <v>Box</v>
      </c>
      <c r="G16" s="32">
        <f>IF($B16="","",Clases!I13)</f>
        <v>16</v>
      </c>
      <c r="H16" s="31">
        <v>12</v>
      </c>
      <c r="I16" s="31">
        <v>12</v>
      </c>
      <c r="J16" s="31">
        <v>12</v>
      </c>
      <c r="K16" s="31">
        <v>15</v>
      </c>
      <c r="L16" s="31">
        <v>14</v>
      </c>
      <c r="M16" s="31">
        <v>16</v>
      </c>
      <c r="N16" s="31">
        <v>16</v>
      </c>
      <c r="O16" s="31">
        <v>14</v>
      </c>
      <c r="P16" s="31">
        <v>15</v>
      </c>
      <c r="Q16" s="31">
        <v>15</v>
      </c>
      <c r="R16" s="31">
        <v>15</v>
      </c>
      <c r="S16" s="31">
        <v>15</v>
      </c>
      <c r="T16" s="77">
        <f t="shared" si="3"/>
        <v>14.25</v>
      </c>
      <c r="U16" s="78">
        <f t="shared" si="4"/>
        <v>0.890625</v>
      </c>
      <c r="V16">
        <f>N(Clases!U13)</f>
        <v>1</v>
      </c>
    </row>
    <row r="17" spans="2:22" ht="17" customHeight="1" x14ac:dyDescent="0.2">
      <c r="B17" s="57">
        <f>IF(Clases!$B14="","",Clases!$B14)</f>
        <v>9</v>
      </c>
      <c r="C17" s="60" t="str">
        <f>IF($B17="","",Clases!C14)</f>
        <v>Martes</v>
      </c>
      <c r="D17" s="59">
        <f>IF($B17="","",Clases!D14)</f>
        <v>0.41666666666666669</v>
      </c>
      <c r="E17" s="60" t="str">
        <f>IF($B17="","",Clases!E14)</f>
        <v>Funcional sénior</v>
      </c>
      <c r="F17" s="60" t="str">
        <f>IF($B17="","",Clases!F14)</f>
        <v>Box</v>
      </c>
      <c r="G17" s="32">
        <f>IF($B17="","",Clases!I14)</f>
        <v>10</v>
      </c>
      <c r="H17" s="31">
        <v>7</v>
      </c>
      <c r="I17" s="31">
        <v>8</v>
      </c>
      <c r="J17" s="31">
        <v>9</v>
      </c>
      <c r="K17" s="31">
        <v>10</v>
      </c>
      <c r="L17" s="31">
        <v>8</v>
      </c>
      <c r="M17" s="31">
        <v>8</v>
      </c>
      <c r="N17" s="31">
        <v>10</v>
      </c>
      <c r="O17" s="31">
        <v>7</v>
      </c>
      <c r="P17" s="31">
        <v>9</v>
      </c>
      <c r="Q17" s="31">
        <v>10</v>
      </c>
      <c r="R17" s="31">
        <v>9</v>
      </c>
      <c r="S17" s="31">
        <v>8</v>
      </c>
      <c r="T17" s="77">
        <f t="shared" si="3"/>
        <v>8.5833333333333339</v>
      </c>
      <c r="U17" s="78">
        <f t="shared" si="4"/>
        <v>0.85833333333333339</v>
      </c>
      <c r="V17">
        <f>N(Clases!U14)</f>
        <v>10</v>
      </c>
    </row>
    <row r="18" spans="2:22" ht="17" customHeight="1" x14ac:dyDescent="0.2">
      <c r="B18" s="57">
        <f>IF(Clases!$B15="","",Clases!$B15)</f>
        <v>10</v>
      </c>
      <c r="C18" s="60" t="str">
        <f>IF($B18="","",Clases!C15)</f>
        <v>Martes</v>
      </c>
      <c r="D18" s="59">
        <f>IF($B18="","",Clases!D15)</f>
        <v>0.42708333333333331</v>
      </c>
      <c r="E18" s="60" t="str">
        <f>IF($B18="","",Clases!E15)</f>
        <v>Movilidad</v>
      </c>
      <c r="F18" s="60" t="str">
        <f>IF($B18="","",Clases!F15)</f>
        <v>Estudio</v>
      </c>
      <c r="G18" s="32">
        <f>IF($B18="","",Clases!I15)</f>
        <v>12</v>
      </c>
      <c r="H18" s="31">
        <v>6</v>
      </c>
      <c r="I18" s="31">
        <v>5</v>
      </c>
      <c r="J18" s="31">
        <v>6</v>
      </c>
      <c r="K18" s="31">
        <v>5</v>
      </c>
      <c r="L18" s="31">
        <v>5</v>
      </c>
      <c r="M18" s="31">
        <v>7</v>
      </c>
      <c r="N18" s="31">
        <v>6</v>
      </c>
      <c r="O18" s="31">
        <v>6</v>
      </c>
      <c r="P18" s="31">
        <v>6</v>
      </c>
      <c r="Q18" s="31">
        <v>6</v>
      </c>
      <c r="R18" s="31">
        <v>6</v>
      </c>
      <c r="S18" s="31">
        <v>8</v>
      </c>
      <c r="T18" s="77">
        <f t="shared" si="3"/>
        <v>6</v>
      </c>
      <c r="U18" s="78">
        <f t="shared" si="4"/>
        <v>0.5</v>
      </c>
      <c r="V18">
        <f>N(Clases!U15)</f>
        <v>6</v>
      </c>
    </row>
    <row r="19" spans="2:22" ht="17" customHeight="1" x14ac:dyDescent="0.2">
      <c r="B19" s="57">
        <f>IF(Clases!$B16="","",Clases!$B16)</f>
        <v>11</v>
      </c>
      <c r="C19" s="60" t="str">
        <f>IF($B19="","",Clases!C16)</f>
        <v>Martes</v>
      </c>
      <c r="D19" s="59">
        <f>IF($B19="","",Clases!D16)</f>
        <v>0.59375</v>
      </c>
      <c r="E19" s="60" t="str">
        <f>IF($B19="","",Clases!E16)</f>
        <v>Core exprés</v>
      </c>
      <c r="F19" s="60" t="str">
        <f>IF($B19="","",Clases!F16)</f>
        <v>Estudio</v>
      </c>
      <c r="G19" s="32">
        <f>IF($B19="","",Clases!I16)</f>
        <v>12</v>
      </c>
      <c r="H19" s="31">
        <v>4</v>
      </c>
      <c r="I19" s="31">
        <v>5</v>
      </c>
      <c r="J19" s="31">
        <v>4</v>
      </c>
      <c r="K19" s="31">
        <v>4</v>
      </c>
      <c r="L19" s="31">
        <v>3</v>
      </c>
      <c r="M19" s="31">
        <v>4</v>
      </c>
      <c r="N19" s="31">
        <v>5</v>
      </c>
      <c r="O19" s="31">
        <v>5</v>
      </c>
      <c r="P19" s="31">
        <v>2</v>
      </c>
      <c r="Q19" s="31">
        <v>4</v>
      </c>
      <c r="R19" s="31">
        <v>3</v>
      </c>
      <c r="S19" s="31">
        <v>3</v>
      </c>
      <c r="T19" s="77">
        <f t="shared" si="3"/>
        <v>3.8333333333333335</v>
      </c>
      <c r="U19" s="78">
        <f t="shared" si="4"/>
        <v>0.31944444444444448</v>
      </c>
      <c r="V19">
        <f>N(Clases!U16)</f>
        <v>9</v>
      </c>
    </row>
    <row r="20" spans="2:22" ht="17" customHeight="1" x14ac:dyDescent="0.2">
      <c r="B20" s="57">
        <f>IF(Clases!$B17="","",Clases!$B17)</f>
        <v>12</v>
      </c>
      <c r="C20" s="60" t="str">
        <f>IF($B20="","",Clases!C17)</f>
        <v>Martes</v>
      </c>
      <c r="D20" s="59">
        <f>IF($B20="","",Clases!D17)</f>
        <v>0.79166666666666663</v>
      </c>
      <c r="E20" s="60" t="str">
        <f>IF($B20="","",Clases!E17)</f>
        <v>Cross training</v>
      </c>
      <c r="F20" s="60" t="str">
        <f>IF($B20="","",Clases!F17)</f>
        <v>Box</v>
      </c>
      <c r="G20" s="32">
        <f>IF($B20="","",Clases!I17)</f>
        <v>16</v>
      </c>
      <c r="H20" s="31">
        <v>14</v>
      </c>
      <c r="I20" s="31">
        <v>13</v>
      </c>
      <c r="J20" s="31">
        <v>13</v>
      </c>
      <c r="K20" s="31">
        <v>15</v>
      </c>
      <c r="L20" s="31">
        <v>15</v>
      </c>
      <c r="M20" s="31">
        <v>15</v>
      </c>
      <c r="N20" s="31">
        <v>15</v>
      </c>
      <c r="O20" s="31">
        <v>16</v>
      </c>
      <c r="P20" s="31">
        <v>16</v>
      </c>
      <c r="Q20" s="31">
        <v>16</v>
      </c>
      <c r="R20" s="31">
        <v>16</v>
      </c>
      <c r="S20" s="31">
        <v>15</v>
      </c>
      <c r="T20" s="77">
        <f t="shared" si="3"/>
        <v>14.916666666666666</v>
      </c>
      <c r="U20" s="78">
        <f t="shared" si="4"/>
        <v>0.93229166666666663</v>
      </c>
      <c r="V20">
        <f>N(Clases!U17)</f>
        <v>1</v>
      </c>
    </row>
    <row r="21" spans="2:22" ht="17" customHeight="1" x14ac:dyDescent="0.2">
      <c r="B21" s="57">
        <f>IF(Clases!$B18="","",Clases!$B18)</f>
        <v>13</v>
      </c>
      <c r="C21" s="60" t="str">
        <f>IF($B21="","",Clases!C18)</f>
        <v>Martes</v>
      </c>
      <c r="D21" s="59">
        <f>IF($B21="","",Clases!D18)</f>
        <v>0.79166666666666663</v>
      </c>
      <c r="E21" s="60" t="str">
        <f>IF($B21="","",Clases!E18)</f>
        <v>Pilates</v>
      </c>
      <c r="F21" s="60" t="str">
        <f>IF($B21="","",Clases!F18)</f>
        <v>Estudio</v>
      </c>
      <c r="G21" s="32">
        <f>IF($B21="","",Clases!I18)</f>
        <v>12</v>
      </c>
      <c r="H21" s="31">
        <v>9</v>
      </c>
      <c r="I21" s="31">
        <v>7</v>
      </c>
      <c r="J21" s="31">
        <v>9</v>
      </c>
      <c r="K21" s="31">
        <v>9</v>
      </c>
      <c r="L21" s="31">
        <v>12</v>
      </c>
      <c r="M21" s="31">
        <v>12</v>
      </c>
      <c r="N21" s="31">
        <v>11</v>
      </c>
      <c r="O21" s="31">
        <v>12</v>
      </c>
      <c r="P21" s="31">
        <v>11</v>
      </c>
      <c r="Q21" s="31">
        <v>11</v>
      </c>
      <c r="R21" s="31">
        <v>10</v>
      </c>
      <c r="S21" s="31">
        <v>11</v>
      </c>
      <c r="T21" s="77">
        <f t="shared" si="3"/>
        <v>10.333333333333334</v>
      </c>
      <c r="U21" s="78">
        <f t="shared" si="4"/>
        <v>0.86111111111111116</v>
      </c>
      <c r="V21">
        <f>N(Clases!U18)</f>
        <v>3</v>
      </c>
    </row>
    <row r="22" spans="2:22" ht="17" customHeight="1" x14ac:dyDescent="0.2">
      <c r="B22" s="57">
        <f>IF(Clases!$B19="","",Clases!$B19)</f>
        <v>14</v>
      </c>
      <c r="C22" s="60" t="str">
        <f>IF($B22="","",Clases!C19)</f>
        <v>Martes</v>
      </c>
      <c r="D22" s="59">
        <f>IF($B22="","",Clases!D19)</f>
        <v>0.83333333333333337</v>
      </c>
      <c r="E22" s="60" t="str">
        <f>IF($B22="","",Clases!E19)</f>
        <v>Yoga</v>
      </c>
      <c r="F22" s="60" t="str">
        <f>IF($B22="","",Clases!F19)</f>
        <v>Estudio</v>
      </c>
      <c r="G22" s="32">
        <f>IF($B22="","",Clases!I19)</f>
        <v>12</v>
      </c>
      <c r="H22" s="31">
        <v>6</v>
      </c>
      <c r="I22" s="31">
        <v>6</v>
      </c>
      <c r="J22" s="31">
        <v>6</v>
      </c>
      <c r="K22" s="31">
        <v>9</v>
      </c>
      <c r="L22" s="31">
        <v>9</v>
      </c>
      <c r="M22" s="31">
        <v>8</v>
      </c>
      <c r="N22" s="31">
        <v>7</v>
      </c>
      <c r="O22" s="31">
        <v>9</v>
      </c>
      <c r="P22" s="31">
        <v>8</v>
      </c>
      <c r="Q22" s="31">
        <v>9</v>
      </c>
      <c r="R22" s="31">
        <v>8</v>
      </c>
      <c r="S22" s="31">
        <v>10</v>
      </c>
      <c r="T22" s="77">
        <f t="shared" si="3"/>
        <v>7.916666666666667</v>
      </c>
      <c r="U22" s="78">
        <f t="shared" si="4"/>
        <v>0.65972222222222221</v>
      </c>
      <c r="V22">
        <f>N(Clases!U19)</f>
        <v>4</v>
      </c>
    </row>
    <row r="23" spans="2:22" ht="17" customHeight="1" x14ac:dyDescent="0.2">
      <c r="B23" s="57">
        <f>IF(Clases!$B20="","",Clases!$B20)</f>
        <v>15</v>
      </c>
      <c r="C23" s="60" t="str">
        <f>IF($B23="","",Clases!C20)</f>
        <v>Martes</v>
      </c>
      <c r="D23" s="59">
        <f>IF($B23="","",Clases!D20)</f>
        <v>0.875</v>
      </c>
      <c r="E23" s="60" t="str">
        <f>IF($B23="","",Clases!E20)</f>
        <v>Cross training</v>
      </c>
      <c r="F23" s="60" t="str">
        <f>IF($B23="","",Clases!F20)</f>
        <v>Box</v>
      </c>
      <c r="G23" s="32">
        <f>IF($B23="","",Clases!I20)</f>
        <v>16</v>
      </c>
      <c r="H23" s="31">
        <v>13</v>
      </c>
      <c r="I23" s="31">
        <v>12</v>
      </c>
      <c r="J23" s="31">
        <v>10</v>
      </c>
      <c r="K23" s="31">
        <v>11</v>
      </c>
      <c r="L23" s="31">
        <v>10</v>
      </c>
      <c r="M23" s="31">
        <v>10</v>
      </c>
      <c r="N23" s="31">
        <v>10</v>
      </c>
      <c r="O23" s="31">
        <v>9</v>
      </c>
      <c r="P23" s="31">
        <v>9</v>
      </c>
      <c r="Q23" s="31">
        <v>8</v>
      </c>
      <c r="R23" s="31">
        <v>9</v>
      </c>
      <c r="S23" s="31">
        <v>9</v>
      </c>
      <c r="T23" s="77">
        <f t="shared" si="3"/>
        <v>10</v>
      </c>
      <c r="U23" s="78">
        <f t="shared" si="4"/>
        <v>0.625</v>
      </c>
      <c r="V23">
        <f>N(Clases!U20)</f>
        <v>1</v>
      </c>
    </row>
    <row r="24" spans="2:22" ht="17" customHeight="1" x14ac:dyDescent="0.2">
      <c r="B24" s="57">
        <f>IF(Clases!$B21="","",Clases!$B21)</f>
        <v>16</v>
      </c>
      <c r="C24" s="60" t="str">
        <f>IF($B24="","",Clases!C21)</f>
        <v>Miércoles</v>
      </c>
      <c r="D24" s="59">
        <f>IF($B24="","",Clases!D21)</f>
        <v>0.29166666666666669</v>
      </c>
      <c r="E24" s="60" t="str">
        <f>IF($B24="","",Clases!E21)</f>
        <v>Cross training</v>
      </c>
      <c r="F24" s="60" t="str">
        <f>IF($B24="","",Clases!F21)</f>
        <v>Box</v>
      </c>
      <c r="G24" s="32">
        <f>IF($B24="","",Clases!I21)</f>
        <v>16</v>
      </c>
      <c r="H24" s="31">
        <v>13</v>
      </c>
      <c r="I24" s="31">
        <v>13</v>
      </c>
      <c r="J24" s="31">
        <v>13</v>
      </c>
      <c r="K24" s="31">
        <v>15</v>
      </c>
      <c r="L24" s="31">
        <v>16</v>
      </c>
      <c r="M24" s="31">
        <v>16</v>
      </c>
      <c r="N24" s="31">
        <v>15</v>
      </c>
      <c r="O24" s="31">
        <v>15</v>
      </c>
      <c r="P24" s="31">
        <v>16</v>
      </c>
      <c r="Q24" s="31">
        <v>16</v>
      </c>
      <c r="R24" s="31">
        <v>16</v>
      </c>
      <c r="S24" s="31">
        <v>16</v>
      </c>
      <c r="T24" s="77">
        <f t="shared" si="3"/>
        <v>15</v>
      </c>
      <c r="U24" s="78">
        <f t="shared" si="4"/>
        <v>0.9375</v>
      </c>
      <c r="V24">
        <f>N(Clases!U21)</f>
        <v>1</v>
      </c>
    </row>
    <row r="25" spans="2:22" ht="17" customHeight="1" x14ac:dyDescent="0.2">
      <c r="B25" s="57">
        <f>IF(Clases!$B22="","",Clases!$B22)</f>
        <v>17</v>
      </c>
      <c r="C25" s="60" t="str">
        <f>IF($B25="","",Clases!C22)</f>
        <v>Miércoles</v>
      </c>
      <c r="D25" s="59">
        <f>IF($B25="","",Clases!D22)</f>
        <v>0.375</v>
      </c>
      <c r="E25" s="60" t="str">
        <f>IF($B25="","",Clases!E22)</f>
        <v>Pilates</v>
      </c>
      <c r="F25" s="60" t="str">
        <f>IF($B25="","",Clases!F22)</f>
        <v>Estudio</v>
      </c>
      <c r="G25" s="32">
        <f>IF($B25="","",Clases!I22)</f>
        <v>12</v>
      </c>
      <c r="H25" s="31">
        <v>9</v>
      </c>
      <c r="I25" s="31">
        <v>7</v>
      </c>
      <c r="J25" s="31">
        <v>9</v>
      </c>
      <c r="K25" s="31">
        <v>8</v>
      </c>
      <c r="L25" s="31">
        <v>10</v>
      </c>
      <c r="M25" s="31">
        <v>9</v>
      </c>
      <c r="N25" s="31">
        <v>9</v>
      </c>
      <c r="O25" s="31">
        <v>11</v>
      </c>
      <c r="P25" s="31">
        <v>11</v>
      </c>
      <c r="Q25" s="31">
        <v>10</v>
      </c>
      <c r="R25" s="31">
        <v>9</v>
      </c>
      <c r="S25" s="31">
        <v>9</v>
      </c>
      <c r="T25" s="77">
        <f t="shared" si="3"/>
        <v>9.25</v>
      </c>
      <c r="U25" s="78">
        <f t="shared" si="4"/>
        <v>0.77083333333333337</v>
      </c>
      <c r="V25">
        <f>N(Clases!U22)</f>
        <v>3</v>
      </c>
    </row>
    <row r="26" spans="2:22" ht="17" customHeight="1" x14ac:dyDescent="0.2">
      <c r="B26" s="57">
        <f>IF(Clases!$B23="","",Clases!$B23)</f>
        <v>18</v>
      </c>
      <c r="C26" s="60" t="str">
        <f>IF($B26="","",Clases!C23)</f>
        <v>Miércoles</v>
      </c>
      <c r="D26" s="59">
        <f>IF($B26="","",Clases!D23)</f>
        <v>0.58333333333333337</v>
      </c>
      <c r="E26" s="60" t="str">
        <f>IF($B26="","",Clases!E23)</f>
        <v>HIIT</v>
      </c>
      <c r="F26" s="60" t="str">
        <f>IF($B26="","",Clases!F23)</f>
        <v>Box</v>
      </c>
      <c r="G26" s="32">
        <f>IF($B26="","",Clases!I23)</f>
        <v>16</v>
      </c>
      <c r="H26" s="31">
        <v>5</v>
      </c>
      <c r="I26" s="31">
        <v>5</v>
      </c>
      <c r="J26" s="31">
        <v>6</v>
      </c>
      <c r="K26" s="31">
        <v>4</v>
      </c>
      <c r="L26" s="31">
        <v>5</v>
      </c>
      <c r="M26" s="31">
        <v>6</v>
      </c>
      <c r="N26" s="31">
        <v>5</v>
      </c>
      <c r="O26" s="31">
        <v>5</v>
      </c>
      <c r="P26" s="31">
        <v>6</v>
      </c>
      <c r="Q26" s="31">
        <v>5</v>
      </c>
      <c r="R26" s="31">
        <v>3</v>
      </c>
      <c r="S26" s="31">
        <v>5</v>
      </c>
      <c r="T26" s="77">
        <f t="shared" si="3"/>
        <v>5</v>
      </c>
      <c r="U26" s="78">
        <f t="shared" si="4"/>
        <v>0.3125</v>
      </c>
      <c r="V26">
        <f>N(Clases!U23)</f>
        <v>2</v>
      </c>
    </row>
    <row r="27" spans="2:22" ht="17" customHeight="1" x14ac:dyDescent="0.2">
      <c r="B27" s="57">
        <f>IF(Clases!$B24="","",Clases!$B24)</f>
        <v>19</v>
      </c>
      <c r="C27" s="60" t="str">
        <f>IF($B27="","",Clases!C24)</f>
        <v>Miércoles</v>
      </c>
      <c r="D27" s="59">
        <f>IF($B27="","",Clases!D24)</f>
        <v>0.75</v>
      </c>
      <c r="E27" s="60" t="str">
        <f>IF($B27="","",Clases!E24)</f>
        <v>Pilates</v>
      </c>
      <c r="F27" s="60" t="str">
        <f>IF($B27="","",Clases!F24)</f>
        <v>Estudio</v>
      </c>
      <c r="G27" s="32">
        <f>IF($B27="","",Clases!I24)</f>
        <v>12</v>
      </c>
      <c r="H27" s="31">
        <v>7</v>
      </c>
      <c r="I27" s="31">
        <v>8</v>
      </c>
      <c r="J27" s="31">
        <v>6</v>
      </c>
      <c r="K27" s="31">
        <v>8</v>
      </c>
      <c r="L27" s="31">
        <v>10</v>
      </c>
      <c r="M27" s="31">
        <v>8</v>
      </c>
      <c r="N27" s="31">
        <v>9</v>
      </c>
      <c r="O27" s="31">
        <v>8</v>
      </c>
      <c r="P27" s="31">
        <v>9</v>
      </c>
      <c r="Q27" s="31">
        <v>9</v>
      </c>
      <c r="R27" s="31">
        <v>8</v>
      </c>
      <c r="S27" s="31">
        <v>9</v>
      </c>
      <c r="T27" s="77">
        <f t="shared" si="3"/>
        <v>8.25</v>
      </c>
      <c r="U27" s="78">
        <f t="shared" si="4"/>
        <v>0.6875</v>
      </c>
      <c r="V27">
        <f>N(Clases!U24)</f>
        <v>3</v>
      </c>
    </row>
    <row r="28" spans="2:22" ht="17" customHeight="1" x14ac:dyDescent="0.2">
      <c r="B28" s="57">
        <f>IF(Clases!$B25="","",Clases!$B25)</f>
        <v>20</v>
      </c>
      <c r="C28" s="60" t="str">
        <f>IF($B28="","",Clases!C25)</f>
        <v>Miércoles</v>
      </c>
      <c r="D28" s="59">
        <f>IF($B28="","",Clases!D25)</f>
        <v>0.79166666666666663</v>
      </c>
      <c r="E28" s="60" t="str">
        <f>IF($B28="","",Clases!E25)</f>
        <v>Cross training</v>
      </c>
      <c r="F28" s="60" t="str">
        <f>IF($B28="","",Clases!F25)</f>
        <v>Box</v>
      </c>
      <c r="G28" s="32">
        <f>IF($B28="","",Clases!I25)</f>
        <v>16</v>
      </c>
      <c r="H28" s="31">
        <v>14</v>
      </c>
      <c r="I28" s="31">
        <v>13</v>
      </c>
      <c r="J28" s="31">
        <v>14</v>
      </c>
      <c r="K28" s="31">
        <v>16</v>
      </c>
      <c r="L28" s="31">
        <v>16</v>
      </c>
      <c r="M28" s="31">
        <v>16</v>
      </c>
      <c r="N28" s="31">
        <v>16</v>
      </c>
      <c r="O28" s="31">
        <v>16</v>
      </c>
      <c r="P28" s="31">
        <v>16</v>
      </c>
      <c r="Q28" s="31">
        <v>16</v>
      </c>
      <c r="R28" s="31">
        <v>16</v>
      </c>
      <c r="S28" s="31">
        <v>16</v>
      </c>
      <c r="T28" s="77">
        <f t="shared" si="3"/>
        <v>15.416666666666666</v>
      </c>
      <c r="U28" s="78">
        <f t="shared" si="4"/>
        <v>0.96354166666666663</v>
      </c>
      <c r="V28">
        <f>N(Clases!U25)</f>
        <v>1</v>
      </c>
    </row>
    <row r="29" spans="2:22" ht="17" customHeight="1" x14ac:dyDescent="0.2">
      <c r="B29" s="57">
        <f>IF(Clases!$B26="","",Clases!$B26)</f>
        <v>21</v>
      </c>
      <c r="C29" s="60" t="str">
        <f>IF($B29="","",Clases!C26)</f>
        <v>Miércoles</v>
      </c>
      <c r="D29" s="59">
        <f>IF($B29="","",Clases!D26)</f>
        <v>0.79166666666666663</v>
      </c>
      <c r="E29" s="60" t="str">
        <f>IF($B29="","",Clases!E26)</f>
        <v>Ciclo indoor</v>
      </c>
      <c r="F29" s="60" t="str">
        <f>IF($B29="","",Clases!F26)</f>
        <v>Estudio</v>
      </c>
      <c r="G29" s="32">
        <f>IF($B29="","",Clases!I26)</f>
        <v>12</v>
      </c>
      <c r="H29" s="31">
        <v>10</v>
      </c>
      <c r="I29" s="31">
        <v>10</v>
      </c>
      <c r="J29" s="31">
        <v>9</v>
      </c>
      <c r="K29" s="31">
        <v>11</v>
      </c>
      <c r="L29" s="31">
        <v>11</v>
      </c>
      <c r="M29" s="31">
        <v>10</v>
      </c>
      <c r="N29" s="31">
        <v>10</v>
      </c>
      <c r="O29" s="31">
        <v>11</v>
      </c>
      <c r="P29" s="31">
        <v>11</v>
      </c>
      <c r="Q29" s="31">
        <v>11</v>
      </c>
      <c r="R29" s="31">
        <v>12</v>
      </c>
      <c r="S29" s="31">
        <v>11</v>
      </c>
      <c r="T29" s="77">
        <f t="shared" si="3"/>
        <v>10.583333333333334</v>
      </c>
      <c r="U29" s="78">
        <f t="shared" si="4"/>
        <v>0.88194444444444453</v>
      </c>
      <c r="V29">
        <f>N(Clases!U26)</f>
        <v>5</v>
      </c>
    </row>
    <row r="30" spans="2:22" ht="17" customHeight="1" x14ac:dyDescent="0.2">
      <c r="B30" s="57">
        <f>IF(Clases!$B27="","",Clases!$B27)</f>
        <v>22</v>
      </c>
      <c r="C30" s="60" t="str">
        <f>IF($B30="","",Clases!C27)</f>
        <v>Miércoles</v>
      </c>
      <c r="D30" s="59">
        <f>IF($B30="","",Clases!D27)</f>
        <v>0.83333333333333337</v>
      </c>
      <c r="E30" s="60" t="str">
        <f>IF($B30="","",Clases!E27)</f>
        <v>Halterofilia</v>
      </c>
      <c r="F30" s="60" t="str">
        <f>IF($B30="","",Clases!F27)</f>
        <v>Box</v>
      </c>
      <c r="G30" s="32">
        <f>IF($B30="","",Clases!I27)</f>
        <v>16</v>
      </c>
      <c r="H30" s="31">
        <v>8</v>
      </c>
      <c r="I30" s="31">
        <v>7</v>
      </c>
      <c r="J30" s="31">
        <v>8</v>
      </c>
      <c r="K30" s="31">
        <v>7</v>
      </c>
      <c r="L30" s="31">
        <v>8</v>
      </c>
      <c r="M30" s="31">
        <v>8</v>
      </c>
      <c r="N30" s="31">
        <v>8</v>
      </c>
      <c r="O30" s="31">
        <v>9</v>
      </c>
      <c r="P30" s="31">
        <v>7</v>
      </c>
      <c r="Q30" s="31">
        <v>9</v>
      </c>
      <c r="R30" s="31">
        <v>8</v>
      </c>
      <c r="S30" s="31">
        <v>7</v>
      </c>
      <c r="T30" s="77">
        <f t="shared" si="3"/>
        <v>7.833333333333333</v>
      </c>
      <c r="U30" s="78">
        <f t="shared" si="4"/>
        <v>0.48958333333333331</v>
      </c>
      <c r="V30">
        <f>N(Clases!U27)</f>
        <v>8</v>
      </c>
    </row>
    <row r="31" spans="2:22" ht="17" customHeight="1" x14ac:dyDescent="0.2">
      <c r="B31" s="57">
        <f>IF(Clases!$B28="","",Clases!$B28)</f>
        <v>23</v>
      </c>
      <c r="C31" s="60" t="str">
        <f>IF($B31="","",Clases!C28)</f>
        <v>Jueves</v>
      </c>
      <c r="D31" s="59">
        <f>IF($B31="","",Clases!D28)</f>
        <v>0.29166666666666669</v>
      </c>
      <c r="E31" s="60" t="str">
        <f>IF($B31="","",Clases!E28)</f>
        <v>Cross training</v>
      </c>
      <c r="F31" s="60" t="str">
        <f>IF($B31="","",Clases!F28)</f>
        <v>Box</v>
      </c>
      <c r="G31" s="32">
        <f>IF($B31="","",Clases!I28)</f>
        <v>16</v>
      </c>
      <c r="H31" s="31">
        <v>12</v>
      </c>
      <c r="I31" s="31">
        <v>12</v>
      </c>
      <c r="J31" s="31">
        <v>13</v>
      </c>
      <c r="K31" s="31">
        <v>13</v>
      </c>
      <c r="L31" s="31">
        <v>14</v>
      </c>
      <c r="M31" s="31">
        <v>14</v>
      </c>
      <c r="N31" s="31">
        <v>15</v>
      </c>
      <c r="O31" s="31">
        <v>15</v>
      </c>
      <c r="P31" s="31">
        <v>15</v>
      </c>
      <c r="Q31" s="31">
        <v>16</v>
      </c>
      <c r="R31" s="31">
        <v>15</v>
      </c>
      <c r="S31" s="31">
        <v>15</v>
      </c>
      <c r="T31" s="77">
        <f t="shared" si="3"/>
        <v>14.083333333333334</v>
      </c>
      <c r="U31" s="78">
        <f t="shared" si="4"/>
        <v>0.88020833333333337</v>
      </c>
      <c r="V31">
        <f>N(Clases!U28)</f>
        <v>1</v>
      </c>
    </row>
    <row r="32" spans="2:22" ht="17" customHeight="1" x14ac:dyDescent="0.2">
      <c r="B32" s="57">
        <f>IF(Clases!$B29="","",Clases!$B29)</f>
        <v>24</v>
      </c>
      <c r="C32" s="60" t="str">
        <f>IF($B32="","",Clases!C29)</f>
        <v>Jueves</v>
      </c>
      <c r="D32" s="59">
        <f>IF($B32="","",Clases!D29)</f>
        <v>0.41666666666666669</v>
      </c>
      <c r="E32" s="60" t="str">
        <f>IF($B32="","",Clases!E29)</f>
        <v>Funcional sénior</v>
      </c>
      <c r="F32" s="60" t="str">
        <f>IF($B32="","",Clases!F29)</f>
        <v>Box</v>
      </c>
      <c r="G32" s="32">
        <f>IF($B32="","",Clases!I29)</f>
        <v>10</v>
      </c>
      <c r="H32" s="31">
        <v>8</v>
      </c>
      <c r="I32" s="31">
        <v>7</v>
      </c>
      <c r="J32" s="31">
        <v>8</v>
      </c>
      <c r="K32" s="31">
        <v>8</v>
      </c>
      <c r="L32" s="31">
        <v>7</v>
      </c>
      <c r="M32" s="31">
        <v>10</v>
      </c>
      <c r="N32" s="31">
        <v>8</v>
      </c>
      <c r="O32" s="31">
        <v>8</v>
      </c>
      <c r="P32" s="31">
        <v>10</v>
      </c>
      <c r="Q32" s="31">
        <v>9</v>
      </c>
      <c r="R32" s="31">
        <v>9</v>
      </c>
      <c r="S32" s="31">
        <v>8</v>
      </c>
      <c r="T32" s="77">
        <f t="shared" si="3"/>
        <v>8.3333333333333339</v>
      </c>
      <c r="U32" s="78">
        <f t="shared" si="4"/>
        <v>0.83333333333333337</v>
      </c>
      <c r="V32">
        <f>N(Clases!U29)</f>
        <v>10</v>
      </c>
    </row>
    <row r="33" spans="2:22" ht="17" customHeight="1" x14ac:dyDescent="0.2">
      <c r="B33" s="57">
        <f>IF(Clases!$B30="","",Clases!$B30)</f>
        <v>25</v>
      </c>
      <c r="C33" s="60" t="str">
        <f>IF($B33="","",Clases!C30)</f>
        <v>Jueves</v>
      </c>
      <c r="D33" s="59">
        <f>IF($B33="","",Clases!D30)</f>
        <v>0.42708333333333331</v>
      </c>
      <c r="E33" s="60" t="str">
        <f>IF($B33="","",Clases!E30)</f>
        <v>Movilidad</v>
      </c>
      <c r="F33" s="60" t="str">
        <f>IF($B33="","",Clases!F30)</f>
        <v>Estudio</v>
      </c>
      <c r="G33" s="32">
        <f>IF($B33="","",Clases!I30)</f>
        <v>12</v>
      </c>
      <c r="H33" s="31">
        <v>5</v>
      </c>
      <c r="I33" s="31">
        <v>4</v>
      </c>
      <c r="J33" s="31">
        <v>6</v>
      </c>
      <c r="K33" s="31">
        <v>6</v>
      </c>
      <c r="L33" s="31">
        <v>5</v>
      </c>
      <c r="M33" s="31">
        <v>7</v>
      </c>
      <c r="N33" s="31">
        <v>6</v>
      </c>
      <c r="O33" s="31">
        <v>6</v>
      </c>
      <c r="P33" s="31">
        <v>5</v>
      </c>
      <c r="Q33" s="31">
        <v>7</v>
      </c>
      <c r="R33" s="31">
        <v>7</v>
      </c>
      <c r="S33" s="31">
        <v>6</v>
      </c>
      <c r="T33" s="77">
        <f t="shared" si="3"/>
        <v>5.833333333333333</v>
      </c>
      <c r="U33" s="78">
        <f t="shared" si="4"/>
        <v>0.4861111111111111</v>
      </c>
      <c r="V33">
        <f>N(Clases!U30)</f>
        <v>6</v>
      </c>
    </row>
    <row r="34" spans="2:22" ht="17" customHeight="1" x14ac:dyDescent="0.2">
      <c r="B34" s="57">
        <f>IF(Clases!$B31="","",Clases!$B31)</f>
        <v>26</v>
      </c>
      <c r="C34" s="60" t="str">
        <f>IF($B34="","",Clases!C31)</f>
        <v>Jueves</v>
      </c>
      <c r="D34" s="59">
        <f>IF($B34="","",Clases!D31)</f>
        <v>0.59375</v>
      </c>
      <c r="E34" s="60" t="str">
        <f>IF($B34="","",Clases!E31)</f>
        <v>Core exprés</v>
      </c>
      <c r="F34" s="60" t="str">
        <f>IF($B34="","",Clases!F31)</f>
        <v>Estudio</v>
      </c>
      <c r="G34" s="32">
        <f>IF($B34="","",Clases!I31)</f>
        <v>12</v>
      </c>
      <c r="H34" s="31">
        <v>3</v>
      </c>
      <c r="I34" s="31">
        <v>3</v>
      </c>
      <c r="J34" s="31">
        <v>2</v>
      </c>
      <c r="K34" s="31">
        <v>3</v>
      </c>
      <c r="L34" s="31">
        <v>4</v>
      </c>
      <c r="M34" s="31">
        <v>4</v>
      </c>
      <c r="N34" s="31">
        <v>3</v>
      </c>
      <c r="O34" s="31">
        <v>4</v>
      </c>
      <c r="P34" s="31">
        <v>4</v>
      </c>
      <c r="Q34" s="31">
        <v>3</v>
      </c>
      <c r="R34" s="31">
        <v>3</v>
      </c>
      <c r="S34" s="31">
        <v>3</v>
      </c>
      <c r="T34" s="77">
        <f t="shared" si="3"/>
        <v>3.25</v>
      </c>
      <c r="U34" s="78">
        <f t="shared" si="4"/>
        <v>0.27083333333333331</v>
      </c>
      <c r="V34">
        <f>N(Clases!U31)</f>
        <v>9</v>
      </c>
    </row>
    <row r="35" spans="2:22" ht="17" customHeight="1" x14ac:dyDescent="0.2">
      <c r="B35" s="57">
        <f>IF(Clases!$B32="","",Clases!$B32)</f>
        <v>27</v>
      </c>
      <c r="C35" s="60" t="str">
        <f>IF($B35="","",Clases!C32)</f>
        <v>Jueves</v>
      </c>
      <c r="D35" s="59">
        <f>IF($B35="","",Clases!D32)</f>
        <v>0.79166666666666663</v>
      </c>
      <c r="E35" s="60" t="str">
        <f>IF($B35="","",Clases!E32)</f>
        <v>Cross training</v>
      </c>
      <c r="F35" s="60" t="str">
        <f>IF($B35="","",Clases!F32)</f>
        <v>Box</v>
      </c>
      <c r="G35" s="32">
        <f>IF($B35="","",Clases!I32)</f>
        <v>16</v>
      </c>
      <c r="H35" s="31">
        <v>11</v>
      </c>
      <c r="I35" s="31">
        <v>10</v>
      </c>
      <c r="J35" s="31">
        <v>11</v>
      </c>
      <c r="K35" s="31">
        <v>12</v>
      </c>
      <c r="L35" s="31">
        <v>13</v>
      </c>
      <c r="M35" s="31">
        <v>14</v>
      </c>
      <c r="N35" s="31">
        <v>14</v>
      </c>
      <c r="O35" s="31">
        <v>14</v>
      </c>
      <c r="P35" s="31">
        <v>14</v>
      </c>
      <c r="Q35" s="31">
        <v>14</v>
      </c>
      <c r="R35" s="31">
        <v>15</v>
      </c>
      <c r="S35" s="31">
        <v>15</v>
      </c>
      <c r="T35" s="77">
        <f t="shared" si="3"/>
        <v>13.083333333333334</v>
      </c>
      <c r="U35" s="78">
        <f t="shared" si="4"/>
        <v>0.81770833333333337</v>
      </c>
      <c r="V35">
        <f>N(Clases!U32)</f>
        <v>1</v>
      </c>
    </row>
    <row r="36" spans="2:22" ht="17" customHeight="1" x14ac:dyDescent="0.2">
      <c r="B36" s="57">
        <f>IF(Clases!$B33="","",Clases!$B33)</f>
        <v>28</v>
      </c>
      <c r="C36" s="60" t="str">
        <f>IF($B36="","",Clases!C33)</f>
        <v>Jueves</v>
      </c>
      <c r="D36" s="59">
        <f>IF($B36="","",Clases!D33)</f>
        <v>0.79166666666666663</v>
      </c>
      <c r="E36" s="60" t="str">
        <f>IF($B36="","",Clases!E33)</f>
        <v>Pilates</v>
      </c>
      <c r="F36" s="60" t="str">
        <f>IF($B36="","",Clases!F33)</f>
        <v>Estudio</v>
      </c>
      <c r="G36" s="32">
        <f>IF($B36="","",Clases!I33)</f>
        <v>12</v>
      </c>
      <c r="H36" s="31">
        <v>8</v>
      </c>
      <c r="I36" s="31">
        <v>7</v>
      </c>
      <c r="J36" s="31">
        <v>9</v>
      </c>
      <c r="K36" s="31">
        <v>9</v>
      </c>
      <c r="L36" s="31">
        <v>9</v>
      </c>
      <c r="M36" s="31">
        <v>9</v>
      </c>
      <c r="N36" s="31">
        <v>12</v>
      </c>
      <c r="O36" s="31">
        <v>10</v>
      </c>
      <c r="P36" s="31">
        <v>10</v>
      </c>
      <c r="Q36" s="31">
        <v>11</v>
      </c>
      <c r="R36" s="31">
        <v>11</v>
      </c>
      <c r="S36" s="31">
        <v>11</v>
      </c>
      <c r="T36" s="77">
        <f t="shared" si="3"/>
        <v>9.6666666666666661</v>
      </c>
      <c r="U36" s="78">
        <f t="shared" si="4"/>
        <v>0.80555555555555547</v>
      </c>
      <c r="V36">
        <f>N(Clases!U33)</f>
        <v>3</v>
      </c>
    </row>
    <row r="37" spans="2:22" ht="17" customHeight="1" x14ac:dyDescent="0.2">
      <c r="B37" s="57">
        <f>IF(Clases!$B34="","",Clases!$B34)</f>
        <v>29</v>
      </c>
      <c r="C37" s="60" t="str">
        <f>IF($B37="","",Clases!C34)</f>
        <v>Jueves</v>
      </c>
      <c r="D37" s="59">
        <f>IF($B37="","",Clases!D34)</f>
        <v>0.83333333333333337</v>
      </c>
      <c r="E37" s="60" t="str">
        <f>IF($B37="","",Clases!E34)</f>
        <v>Yoga</v>
      </c>
      <c r="F37" s="60" t="str">
        <f>IF($B37="","",Clases!F34)</f>
        <v>Estudio</v>
      </c>
      <c r="G37" s="32">
        <f>IF($B37="","",Clases!I34)</f>
        <v>12</v>
      </c>
      <c r="H37" s="31">
        <v>6</v>
      </c>
      <c r="I37" s="31">
        <v>6</v>
      </c>
      <c r="J37" s="31">
        <v>8</v>
      </c>
      <c r="K37" s="31">
        <v>8</v>
      </c>
      <c r="L37" s="31">
        <v>8</v>
      </c>
      <c r="M37" s="31">
        <v>7</v>
      </c>
      <c r="N37" s="31">
        <v>8</v>
      </c>
      <c r="O37" s="31">
        <v>10</v>
      </c>
      <c r="P37" s="31">
        <v>10</v>
      </c>
      <c r="Q37" s="31">
        <v>9</v>
      </c>
      <c r="R37" s="31">
        <v>8</v>
      </c>
      <c r="S37" s="31">
        <v>8</v>
      </c>
      <c r="T37" s="77">
        <f t="shared" si="3"/>
        <v>8</v>
      </c>
      <c r="U37" s="78">
        <f t="shared" si="4"/>
        <v>0.66666666666666663</v>
      </c>
      <c r="V37">
        <f>N(Clases!U34)</f>
        <v>4</v>
      </c>
    </row>
    <row r="38" spans="2:22" ht="17" customHeight="1" x14ac:dyDescent="0.2">
      <c r="B38" s="57">
        <f>IF(Clases!$B35="","",Clases!$B35)</f>
        <v>30</v>
      </c>
      <c r="C38" s="60" t="str">
        <f>IF($B38="","",Clases!C35)</f>
        <v>Jueves</v>
      </c>
      <c r="D38" s="59">
        <f>IF($B38="","",Clases!D35)</f>
        <v>0.875</v>
      </c>
      <c r="E38" s="60" t="str">
        <f>IF($B38="","",Clases!E35)</f>
        <v>Cross training</v>
      </c>
      <c r="F38" s="60" t="str">
        <f>IF($B38="","",Clases!F35)</f>
        <v>Box</v>
      </c>
      <c r="G38" s="32">
        <f>IF($B38="","",Clases!I35)</f>
        <v>16</v>
      </c>
      <c r="H38" s="31">
        <v>11</v>
      </c>
      <c r="I38" s="31">
        <v>10</v>
      </c>
      <c r="J38" s="31">
        <v>11</v>
      </c>
      <c r="K38" s="31">
        <v>9</v>
      </c>
      <c r="L38" s="31">
        <v>10</v>
      </c>
      <c r="M38" s="31">
        <v>10</v>
      </c>
      <c r="N38" s="31">
        <v>9</v>
      </c>
      <c r="O38" s="31">
        <v>9</v>
      </c>
      <c r="P38" s="31">
        <v>9</v>
      </c>
      <c r="Q38" s="31">
        <v>8</v>
      </c>
      <c r="R38" s="31">
        <v>10</v>
      </c>
      <c r="S38" s="31">
        <v>9</v>
      </c>
      <c r="T38" s="77">
        <f t="shared" si="3"/>
        <v>9.5833333333333339</v>
      </c>
      <c r="U38" s="78">
        <f t="shared" si="4"/>
        <v>0.59895833333333337</v>
      </c>
      <c r="V38">
        <f>N(Clases!U35)</f>
        <v>1</v>
      </c>
    </row>
    <row r="39" spans="2:22" ht="17" customHeight="1" x14ac:dyDescent="0.2">
      <c r="B39" s="57">
        <f>IF(Clases!$B36="","",Clases!$B36)</f>
        <v>31</v>
      </c>
      <c r="C39" s="60" t="str">
        <f>IF($B39="","",Clases!C36)</f>
        <v>Viernes</v>
      </c>
      <c r="D39" s="59">
        <f>IF($B39="","",Clases!D36)</f>
        <v>0.29166666666666669</v>
      </c>
      <c r="E39" s="60" t="str">
        <f>IF($B39="","",Clases!E36)</f>
        <v>Cross training</v>
      </c>
      <c r="F39" s="60" t="str">
        <f>IF($B39="","",Clases!F36)</f>
        <v>Box</v>
      </c>
      <c r="G39" s="32">
        <f>IF($B39="","",Clases!I36)</f>
        <v>16</v>
      </c>
      <c r="H39" s="31">
        <v>11</v>
      </c>
      <c r="I39" s="31">
        <v>12</v>
      </c>
      <c r="J39" s="31">
        <v>12</v>
      </c>
      <c r="K39" s="31">
        <v>13</v>
      </c>
      <c r="L39" s="31">
        <v>12</v>
      </c>
      <c r="M39" s="31">
        <v>14</v>
      </c>
      <c r="N39" s="31">
        <v>15</v>
      </c>
      <c r="O39" s="31">
        <v>15</v>
      </c>
      <c r="P39" s="31">
        <v>13</v>
      </c>
      <c r="Q39" s="31">
        <v>14</v>
      </c>
      <c r="R39" s="31">
        <v>13</v>
      </c>
      <c r="S39" s="31">
        <v>14</v>
      </c>
      <c r="T39" s="77">
        <f t="shared" si="3"/>
        <v>13.166666666666666</v>
      </c>
      <c r="U39" s="78">
        <f t="shared" si="4"/>
        <v>0.82291666666666663</v>
      </c>
      <c r="V39">
        <f>N(Clases!U36)</f>
        <v>1</v>
      </c>
    </row>
    <row r="40" spans="2:22" ht="17" customHeight="1" x14ac:dyDescent="0.2">
      <c r="B40" s="57">
        <f>IF(Clases!$B37="","",Clases!$B37)</f>
        <v>32</v>
      </c>
      <c r="C40" s="60" t="str">
        <f>IF($B40="","",Clases!C37)</f>
        <v>Viernes</v>
      </c>
      <c r="D40" s="59">
        <f>IF($B40="","",Clases!D37)</f>
        <v>0.375</v>
      </c>
      <c r="E40" s="60" t="str">
        <f>IF($B40="","",Clases!E37)</f>
        <v>Pilates</v>
      </c>
      <c r="F40" s="60" t="str">
        <f>IF($B40="","",Clases!F37)</f>
        <v>Estudio</v>
      </c>
      <c r="G40" s="32">
        <f>IF($B40="","",Clases!I37)</f>
        <v>12</v>
      </c>
      <c r="H40" s="31">
        <v>7</v>
      </c>
      <c r="I40" s="31">
        <v>7</v>
      </c>
      <c r="J40" s="31">
        <v>7</v>
      </c>
      <c r="K40" s="31">
        <v>9</v>
      </c>
      <c r="L40" s="31">
        <v>8</v>
      </c>
      <c r="M40" s="31">
        <v>10</v>
      </c>
      <c r="N40" s="31">
        <v>8</v>
      </c>
      <c r="O40" s="31">
        <v>9</v>
      </c>
      <c r="P40" s="31">
        <v>7</v>
      </c>
      <c r="Q40" s="31">
        <v>9</v>
      </c>
      <c r="R40" s="31">
        <v>9</v>
      </c>
      <c r="S40" s="31">
        <v>9</v>
      </c>
      <c r="T40" s="77">
        <f t="shared" si="3"/>
        <v>8.25</v>
      </c>
      <c r="U40" s="78">
        <f t="shared" si="4"/>
        <v>0.6875</v>
      </c>
      <c r="V40">
        <f>N(Clases!U37)</f>
        <v>3</v>
      </c>
    </row>
    <row r="41" spans="2:22" ht="17" customHeight="1" x14ac:dyDescent="0.2">
      <c r="B41" s="57">
        <f>IF(Clases!$B38="","",Clases!$B38)</f>
        <v>33</v>
      </c>
      <c r="C41" s="60" t="str">
        <f>IF($B41="","",Clases!C38)</f>
        <v>Viernes</v>
      </c>
      <c r="D41" s="59">
        <f>IF($B41="","",Clases!D38)</f>
        <v>0.79166666666666663</v>
      </c>
      <c r="E41" s="60" t="str">
        <f>IF($B41="","",Clases!E38)</f>
        <v>Cross training</v>
      </c>
      <c r="F41" s="60" t="str">
        <f>IF($B41="","",Clases!F38)</f>
        <v>Box</v>
      </c>
      <c r="G41" s="32">
        <f>IF($B41="","",Clases!I38)</f>
        <v>16</v>
      </c>
      <c r="H41" s="31">
        <v>8</v>
      </c>
      <c r="I41" s="31">
        <v>10</v>
      </c>
      <c r="J41" s="31">
        <v>10</v>
      </c>
      <c r="K41" s="31">
        <v>11</v>
      </c>
      <c r="L41" s="31">
        <v>11</v>
      </c>
      <c r="M41" s="31">
        <v>11</v>
      </c>
      <c r="N41" s="31">
        <v>12</v>
      </c>
      <c r="O41" s="31">
        <v>11</v>
      </c>
      <c r="P41" s="31">
        <v>12</v>
      </c>
      <c r="Q41" s="31">
        <v>12</v>
      </c>
      <c r="R41" s="31">
        <v>11</v>
      </c>
      <c r="S41" s="31">
        <v>12</v>
      </c>
      <c r="T41" s="77">
        <f t="shared" ref="T41:T72" si="5">IF(OR($B41="",COUNT(H41:S41)=0),"",AVERAGE(H41:S41))</f>
        <v>10.916666666666666</v>
      </c>
      <c r="U41" s="78">
        <f t="shared" ref="U41:U72" si="6">IF(OR(T41="",N(G41)=0),"",T41/G41)</f>
        <v>0.68229166666666663</v>
      </c>
      <c r="V41">
        <f>N(Clases!U38)</f>
        <v>1</v>
      </c>
    </row>
    <row r="42" spans="2:22" ht="17" customHeight="1" x14ac:dyDescent="0.2">
      <c r="B42" s="57">
        <f>IF(Clases!$B39="","",Clases!$B39)</f>
        <v>34</v>
      </c>
      <c r="C42" s="60" t="str">
        <f>IF($B42="","",Clases!C39)</f>
        <v>Viernes</v>
      </c>
      <c r="D42" s="59">
        <f>IF($B42="","",Clases!D39)</f>
        <v>0.79166666666666663</v>
      </c>
      <c r="E42" s="60" t="str">
        <f>IF($B42="","",Clases!E39)</f>
        <v>Ciclo indoor</v>
      </c>
      <c r="F42" s="60" t="str">
        <f>IF($B42="","",Clases!F39)</f>
        <v>Estudio</v>
      </c>
      <c r="G42" s="32">
        <f>IF($B42="","",Clases!I39)</f>
        <v>12</v>
      </c>
      <c r="H42" s="31">
        <v>6</v>
      </c>
      <c r="I42" s="31">
        <v>7</v>
      </c>
      <c r="J42" s="31">
        <v>6</v>
      </c>
      <c r="K42" s="31">
        <v>7</v>
      </c>
      <c r="L42" s="31">
        <v>7</v>
      </c>
      <c r="M42" s="31">
        <v>8</v>
      </c>
      <c r="N42" s="31">
        <v>7</v>
      </c>
      <c r="O42" s="31">
        <v>7</v>
      </c>
      <c r="P42" s="31">
        <v>8</v>
      </c>
      <c r="Q42" s="31">
        <v>9</v>
      </c>
      <c r="R42" s="31">
        <v>8</v>
      </c>
      <c r="S42" s="31">
        <v>8</v>
      </c>
      <c r="T42" s="77">
        <f t="shared" si="5"/>
        <v>7.333333333333333</v>
      </c>
      <c r="U42" s="78">
        <f t="shared" si="6"/>
        <v>0.61111111111111105</v>
      </c>
      <c r="V42">
        <f>N(Clases!U39)</f>
        <v>5</v>
      </c>
    </row>
    <row r="43" spans="2:22" ht="17" customHeight="1" x14ac:dyDescent="0.2">
      <c r="B43" s="57">
        <f>IF(Clases!$B40="","",Clases!$B40)</f>
        <v>35</v>
      </c>
      <c r="C43" s="60" t="str">
        <f>IF($B43="","",Clases!C40)</f>
        <v>Sábado</v>
      </c>
      <c r="D43" s="59">
        <f>IF($B43="","",Clases!D40)</f>
        <v>0.41666666666666669</v>
      </c>
      <c r="E43" s="60" t="str">
        <f>IF($B43="","",Clases!E40)</f>
        <v>Open box</v>
      </c>
      <c r="F43" s="60" t="str">
        <f>IF($B43="","",Clases!F40)</f>
        <v>Box</v>
      </c>
      <c r="G43" s="32">
        <f>IF($B43="","",Clases!I40)</f>
        <v>16</v>
      </c>
      <c r="H43" s="31"/>
      <c r="I43" s="31">
        <v>8</v>
      </c>
      <c r="J43" s="31">
        <v>10</v>
      </c>
      <c r="K43" s="31">
        <v>11</v>
      </c>
      <c r="L43" s="31">
        <v>11</v>
      </c>
      <c r="M43" s="31">
        <v>12</v>
      </c>
      <c r="N43" s="31">
        <v>12</v>
      </c>
      <c r="O43" s="31">
        <v>11</v>
      </c>
      <c r="P43" s="31">
        <v>10</v>
      </c>
      <c r="Q43" s="31">
        <v>12</v>
      </c>
      <c r="R43" s="31">
        <v>10</v>
      </c>
      <c r="S43" s="31">
        <v>10</v>
      </c>
      <c r="T43" s="77">
        <f t="shared" si="5"/>
        <v>10.636363636363637</v>
      </c>
      <c r="U43" s="78">
        <f t="shared" si="6"/>
        <v>0.66477272727272729</v>
      </c>
      <c r="V43">
        <f>N(Clases!U40)</f>
        <v>7</v>
      </c>
    </row>
    <row r="44" spans="2:22" ht="17" customHeight="1" x14ac:dyDescent="0.2">
      <c r="B44" s="57">
        <f>IF(Clases!$B41="","",Clases!$B41)</f>
        <v>36</v>
      </c>
      <c r="C44" s="60" t="str">
        <f>IF($B44="","",Clases!C41)</f>
        <v>Sábado</v>
      </c>
      <c r="D44" s="59">
        <f>IF($B44="","",Clases!D41)</f>
        <v>0.4375</v>
      </c>
      <c r="E44" s="60" t="str">
        <f>IF($B44="","",Clases!E41)</f>
        <v>Yoga</v>
      </c>
      <c r="F44" s="60" t="str">
        <f>IF($B44="","",Clases!F41)</f>
        <v>Estudio</v>
      </c>
      <c r="G44" s="32">
        <f>IF($B44="","",Clases!I41)</f>
        <v>12</v>
      </c>
      <c r="H44" s="31"/>
      <c r="I44" s="31">
        <v>6</v>
      </c>
      <c r="J44" s="31">
        <v>6</v>
      </c>
      <c r="K44" s="31">
        <v>7</v>
      </c>
      <c r="L44" s="31">
        <v>6</v>
      </c>
      <c r="M44" s="31">
        <v>6</v>
      </c>
      <c r="N44" s="31">
        <v>6</v>
      </c>
      <c r="O44" s="31">
        <v>7</v>
      </c>
      <c r="P44" s="31">
        <v>8</v>
      </c>
      <c r="Q44" s="31">
        <v>7</v>
      </c>
      <c r="R44" s="31">
        <v>7</v>
      </c>
      <c r="S44" s="31">
        <v>6</v>
      </c>
      <c r="T44" s="77">
        <f t="shared" si="5"/>
        <v>6.5454545454545459</v>
      </c>
      <c r="U44" s="78">
        <f t="shared" si="6"/>
        <v>0.54545454545454553</v>
      </c>
      <c r="V44">
        <f>N(Clases!U41)</f>
        <v>4</v>
      </c>
    </row>
    <row r="45" spans="2:22" ht="17" customHeight="1" x14ac:dyDescent="0.2">
      <c r="B45" s="57">
        <f>IF(Clases!$B42="","",Clases!$B42)</f>
        <v>37</v>
      </c>
      <c r="C45" s="60" t="str">
        <f>IF($B45="","",Clases!C42)</f>
        <v>Domingo</v>
      </c>
      <c r="D45" s="59">
        <f>IF($B45="","",Clases!D42)</f>
        <v>0.4375</v>
      </c>
      <c r="E45" s="60" t="str">
        <f>IF($B45="","",Clases!E42)</f>
        <v>Movilidad</v>
      </c>
      <c r="F45" s="60" t="str">
        <f>IF($B45="","",Clases!F42)</f>
        <v>Estudio</v>
      </c>
      <c r="G45" s="32">
        <f>IF($B45="","",Clases!I42)</f>
        <v>12</v>
      </c>
      <c r="H45" s="31">
        <v>6</v>
      </c>
      <c r="I45" s="31">
        <v>3</v>
      </c>
      <c r="J45" s="31">
        <v>4</v>
      </c>
      <c r="K45" s="31">
        <v>5</v>
      </c>
      <c r="L45" s="31">
        <v>5</v>
      </c>
      <c r="M45" s="31">
        <v>4</v>
      </c>
      <c r="N45" s="31">
        <v>4</v>
      </c>
      <c r="O45" s="31">
        <v>5</v>
      </c>
      <c r="P45" s="31">
        <v>4</v>
      </c>
      <c r="Q45" s="31">
        <v>6</v>
      </c>
      <c r="R45" s="31">
        <v>3</v>
      </c>
      <c r="S45" s="31"/>
      <c r="T45" s="77">
        <f t="shared" si="5"/>
        <v>4.4545454545454541</v>
      </c>
      <c r="U45" s="78">
        <f t="shared" si="6"/>
        <v>0.37121212121212116</v>
      </c>
      <c r="V45">
        <f>N(Clases!U42)</f>
        <v>6</v>
      </c>
    </row>
    <row r="46" spans="2:22" ht="17" customHeight="1" x14ac:dyDescent="0.2">
      <c r="B46" s="57" t="str">
        <f>IF(Clases!$B43="","",Clases!$B43)</f>
        <v/>
      </c>
      <c r="C46" s="60" t="str">
        <f>IF($B46="","",Clases!C43)</f>
        <v/>
      </c>
      <c r="D46" s="59" t="str">
        <f>IF($B46="","",Clases!D43)</f>
        <v/>
      </c>
      <c r="E46" s="60" t="str">
        <f>IF($B46="","",Clases!E43)</f>
        <v/>
      </c>
      <c r="F46" s="60" t="str">
        <f>IF($B46="","",Clases!F43)</f>
        <v/>
      </c>
      <c r="G46" s="32" t="str">
        <f>IF($B46="","",Clases!I43)</f>
        <v/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77" t="str">
        <f t="shared" si="5"/>
        <v/>
      </c>
      <c r="U46" s="78" t="str">
        <f t="shared" si="6"/>
        <v/>
      </c>
      <c r="V46">
        <f>N(Clases!U43)</f>
        <v>0</v>
      </c>
    </row>
    <row r="47" spans="2:22" ht="17" customHeight="1" x14ac:dyDescent="0.2">
      <c r="B47" s="57" t="str">
        <f>IF(Clases!$B44="","",Clases!$B44)</f>
        <v/>
      </c>
      <c r="C47" s="60" t="str">
        <f>IF($B47="","",Clases!C44)</f>
        <v/>
      </c>
      <c r="D47" s="59" t="str">
        <f>IF($B47="","",Clases!D44)</f>
        <v/>
      </c>
      <c r="E47" s="60" t="str">
        <f>IF($B47="","",Clases!E44)</f>
        <v/>
      </c>
      <c r="F47" s="60" t="str">
        <f>IF($B47="","",Clases!F44)</f>
        <v/>
      </c>
      <c r="G47" s="32" t="str">
        <f>IF($B47="","",Clases!I44)</f>
        <v/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77" t="str">
        <f t="shared" si="5"/>
        <v/>
      </c>
      <c r="U47" s="78" t="str">
        <f t="shared" si="6"/>
        <v/>
      </c>
      <c r="V47">
        <f>N(Clases!U44)</f>
        <v>0</v>
      </c>
    </row>
    <row r="48" spans="2:22" ht="17" customHeight="1" x14ac:dyDescent="0.2">
      <c r="B48" s="57" t="str">
        <f>IF(Clases!$B45="","",Clases!$B45)</f>
        <v/>
      </c>
      <c r="C48" s="60" t="str">
        <f>IF($B48="","",Clases!C45)</f>
        <v/>
      </c>
      <c r="D48" s="59" t="str">
        <f>IF($B48="","",Clases!D45)</f>
        <v/>
      </c>
      <c r="E48" s="60" t="str">
        <f>IF($B48="","",Clases!E45)</f>
        <v/>
      </c>
      <c r="F48" s="60" t="str">
        <f>IF($B48="","",Clases!F45)</f>
        <v/>
      </c>
      <c r="G48" s="32" t="str">
        <f>IF($B48="","",Clases!I45)</f>
        <v/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77" t="str">
        <f t="shared" si="5"/>
        <v/>
      </c>
      <c r="U48" s="78" t="str">
        <f t="shared" si="6"/>
        <v/>
      </c>
      <c r="V48">
        <f>N(Clases!U45)</f>
        <v>0</v>
      </c>
    </row>
    <row r="49" spans="2:22" ht="17" customHeight="1" x14ac:dyDescent="0.2">
      <c r="B49" s="57" t="str">
        <f>IF(Clases!$B46="","",Clases!$B46)</f>
        <v/>
      </c>
      <c r="C49" s="60" t="str">
        <f>IF($B49="","",Clases!C46)</f>
        <v/>
      </c>
      <c r="D49" s="59" t="str">
        <f>IF($B49="","",Clases!D46)</f>
        <v/>
      </c>
      <c r="E49" s="60" t="str">
        <f>IF($B49="","",Clases!E46)</f>
        <v/>
      </c>
      <c r="F49" s="60" t="str">
        <f>IF($B49="","",Clases!F46)</f>
        <v/>
      </c>
      <c r="G49" s="32" t="str">
        <f>IF($B49="","",Clases!I46)</f>
        <v/>
      </c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77" t="str">
        <f t="shared" si="5"/>
        <v/>
      </c>
      <c r="U49" s="78" t="str">
        <f t="shared" si="6"/>
        <v/>
      </c>
      <c r="V49">
        <f>N(Clases!U46)</f>
        <v>0</v>
      </c>
    </row>
    <row r="50" spans="2:22" ht="17" customHeight="1" x14ac:dyDescent="0.2">
      <c r="B50" s="57" t="str">
        <f>IF(Clases!$B47="","",Clases!$B47)</f>
        <v/>
      </c>
      <c r="C50" s="60" t="str">
        <f>IF($B50="","",Clases!C47)</f>
        <v/>
      </c>
      <c r="D50" s="59" t="str">
        <f>IF($B50="","",Clases!D47)</f>
        <v/>
      </c>
      <c r="E50" s="60" t="str">
        <f>IF($B50="","",Clases!E47)</f>
        <v/>
      </c>
      <c r="F50" s="60" t="str">
        <f>IF($B50="","",Clases!F47)</f>
        <v/>
      </c>
      <c r="G50" s="32" t="str">
        <f>IF($B50="","",Clases!I47)</f>
        <v/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77" t="str">
        <f t="shared" si="5"/>
        <v/>
      </c>
      <c r="U50" s="78" t="str">
        <f t="shared" si="6"/>
        <v/>
      </c>
      <c r="V50">
        <f>N(Clases!U47)</f>
        <v>0</v>
      </c>
    </row>
    <row r="51" spans="2:22" ht="17" customHeight="1" x14ac:dyDescent="0.2">
      <c r="B51" s="57" t="str">
        <f>IF(Clases!$B48="","",Clases!$B48)</f>
        <v/>
      </c>
      <c r="C51" s="60" t="str">
        <f>IF($B51="","",Clases!C48)</f>
        <v/>
      </c>
      <c r="D51" s="59" t="str">
        <f>IF($B51="","",Clases!D48)</f>
        <v/>
      </c>
      <c r="E51" s="60" t="str">
        <f>IF($B51="","",Clases!E48)</f>
        <v/>
      </c>
      <c r="F51" s="60" t="str">
        <f>IF($B51="","",Clases!F48)</f>
        <v/>
      </c>
      <c r="G51" s="32" t="str">
        <f>IF($B51="","",Clases!I48)</f>
        <v/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77" t="str">
        <f t="shared" si="5"/>
        <v/>
      </c>
      <c r="U51" s="78" t="str">
        <f t="shared" si="6"/>
        <v/>
      </c>
      <c r="V51">
        <f>N(Clases!U48)</f>
        <v>0</v>
      </c>
    </row>
    <row r="52" spans="2:22" ht="17" customHeight="1" x14ac:dyDescent="0.2">
      <c r="B52" s="57" t="str">
        <f>IF(Clases!$B49="","",Clases!$B49)</f>
        <v/>
      </c>
      <c r="C52" s="60" t="str">
        <f>IF($B52="","",Clases!C49)</f>
        <v/>
      </c>
      <c r="D52" s="59" t="str">
        <f>IF($B52="","",Clases!D49)</f>
        <v/>
      </c>
      <c r="E52" s="60" t="str">
        <f>IF($B52="","",Clases!E49)</f>
        <v/>
      </c>
      <c r="F52" s="60" t="str">
        <f>IF($B52="","",Clases!F49)</f>
        <v/>
      </c>
      <c r="G52" s="32" t="str">
        <f>IF($B52="","",Clases!I49)</f>
        <v/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77" t="str">
        <f t="shared" si="5"/>
        <v/>
      </c>
      <c r="U52" s="78" t="str">
        <f t="shared" si="6"/>
        <v/>
      </c>
      <c r="V52">
        <f>N(Clases!U49)</f>
        <v>0</v>
      </c>
    </row>
    <row r="53" spans="2:22" ht="17" customHeight="1" x14ac:dyDescent="0.2">
      <c r="B53" s="57" t="str">
        <f>IF(Clases!$B50="","",Clases!$B50)</f>
        <v/>
      </c>
      <c r="C53" s="60" t="str">
        <f>IF($B53="","",Clases!C50)</f>
        <v/>
      </c>
      <c r="D53" s="59" t="str">
        <f>IF($B53="","",Clases!D50)</f>
        <v/>
      </c>
      <c r="E53" s="60" t="str">
        <f>IF($B53="","",Clases!E50)</f>
        <v/>
      </c>
      <c r="F53" s="60" t="str">
        <f>IF($B53="","",Clases!F50)</f>
        <v/>
      </c>
      <c r="G53" s="32" t="str">
        <f>IF($B53="","",Clases!I50)</f>
        <v/>
      </c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77" t="str">
        <f t="shared" si="5"/>
        <v/>
      </c>
      <c r="U53" s="78" t="str">
        <f t="shared" si="6"/>
        <v/>
      </c>
      <c r="V53">
        <f>N(Clases!U50)</f>
        <v>0</v>
      </c>
    </row>
    <row r="54" spans="2:22" ht="17" customHeight="1" x14ac:dyDescent="0.2">
      <c r="B54" s="57" t="str">
        <f>IF(Clases!$B51="","",Clases!$B51)</f>
        <v/>
      </c>
      <c r="C54" s="60" t="str">
        <f>IF($B54="","",Clases!C51)</f>
        <v/>
      </c>
      <c r="D54" s="59" t="str">
        <f>IF($B54="","",Clases!D51)</f>
        <v/>
      </c>
      <c r="E54" s="60" t="str">
        <f>IF($B54="","",Clases!E51)</f>
        <v/>
      </c>
      <c r="F54" s="60" t="str">
        <f>IF($B54="","",Clases!F51)</f>
        <v/>
      </c>
      <c r="G54" s="32" t="str">
        <f>IF($B54="","",Clases!I51)</f>
        <v/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77" t="str">
        <f t="shared" si="5"/>
        <v/>
      </c>
      <c r="U54" s="78" t="str">
        <f t="shared" si="6"/>
        <v/>
      </c>
      <c r="V54">
        <f>N(Clases!U51)</f>
        <v>0</v>
      </c>
    </row>
    <row r="55" spans="2:22" ht="17" customHeight="1" x14ac:dyDescent="0.2">
      <c r="B55" s="57" t="str">
        <f>IF(Clases!$B52="","",Clases!$B52)</f>
        <v/>
      </c>
      <c r="C55" s="60" t="str">
        <f>IF($B55="","",Clases!C52)</f>
        <v/>
      </c>
      <c r="D55" s="59" t="str">
        <f>IF($B55="","",Clases!D52)</f>
        <v/>
      </c>
      <c r="E55" s="60" t="str">
        <f>IF($B55="","",Clases!E52)</f>
        <v/>
      </c>
      <c r="F55" s="60" t="str">
        <f>IF($B55="","",Clases!F52)</f>
        <v/>
      </c>
      <c r="G55" s="32" t="str">
        <f>IF($B55="","",Clases!I52)</f>
        <v/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77" t="str">
        <f t="shared" si="5"/>
        <v/>
      </c>
      <c r="U55" s="78" t="str">
        <f t="shared" si="6"/>
        <v/>
      </c>
      <c r="V55">
        <f>N(Clases!U52)</f>
        <v>0</v>
      </c>
    </row>
    <row r="56" spans="2:22" ht="17" customHeight="1" x14ac:dyDescent="0.2">
      <c r="B56" s="57" t="str">
        <f>IF(Clases!$B53="","",Clases!$B53)</f>
        <v/>
      </c>
      <c r="C56" s="60" t="str">
        <f>IF($B56="","",Clases!C53)</f>
        <v/>
      </c>
      <c r="D56" s="59" t="str">
        <f>IF($B56="","",Clases!D53)</f>
        <v/>
      </c>
      <c r="E56" s="60" t="str">
        <f>IF($B56="","",Clases!E53)</f>
        <v/>
      </c>
      <c r="F56" s="60" t="str">
        <f>IF($B56="","",Clases!F53)</f>
        <v/>
      </c>
      <c r="G56" s="32" t="str">
        <f>IF($B56="","",Clases!I53)</f>
        <v/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77" t="str">
        <f t="shared" si="5"/>
        <v/>
      </c>
      <c r="U56" s="78" t="str">
        <f t="shared" si="6"/>
        <v/>
      </c>
      <c r="V56">
        <f>N(Clases!U53)</f>
        <v>0</v>
      </c>
    </row>
    <row r="57" spans="2:22" ht="17" customHeight="1" x14ac:dyDescent="0.2">
      <c r="B57" s="57" t="str">
        <f>IF(Clases!$B54="","",Clases!$B54)</f>
        <v/>
      </c>
      <c r="C57" s="60" t="str">
        <f>IF($B57="","",Clases!C54)</f>
        <v/>
      </c>
      <c r="D57" s="59" t="str">
        <f>IF($B57="","",Clases!D54)</f>
        <v/>
      </c>
      <c r="E57" s="60" t="str">
        <f>IF($B57="","",Clases!E54)</f>
        <v/>
      </c>
      <c r="F57" s="60" t="str">
        <f>IF($B57="","",Clases!F54)</f>
        <v/>
      </c>
      <c r="G57" s="32" t="str">
        <f>IF($B57="","",Clases!I54)</f>
        <v/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77" t="str">
        <f t="shared" si="5"/>
        <v/>
      </c>
      <c r="U57" s="78" t="str">
        <f t="shared" si="6"/>
        <v/>
      </c>
      <c r="V57">
        <f>N(Clases!U54)</f>
        <v>0</v>
      </c>
    </row>
    <row r="58" spans="2:22" ht="17" customHeight="1" x14ac:dyDescent="0.2">
      <c r="B58" s="57" t="str">
        <f>IF(Clases!$B55="","",Clases!$B55)</f>
        <v/>
      </c>
      <c r="C58" s="60" t="str">
        <f>IF($B58="","",Clases!C55)</f>
        <v/>
      </c>
      <c r="D58" s="59" t="str">
        <f>IF($B58="","",Clases!D55)</f>
        <v/>
      </c>
      <c r="E58" s="60" t="str">
        <f>IF($B58="","",Clases!E55)</f>
        <v/>
      </c>
      <c r="F58" s="60" t="str">
        <f>IF($B58="","",Clases!F55)</f>
        <v/>
      </c>
      <c r="G58" s="32" t="str">
        <f>IF($B58="","",Clases!I55)</f>
        <v/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77" t="str">
        <f t="shared" si="5"/>
        <v/>
      </c>
      <c r="U58" s="78" t="str">
        <f t="shared" si="6"/>
        <v/>
      </c>
      <c r="V58">
        <f>N(Clases!U55)</f>
        <v>0</v>
      </c>
    </row>
    <row r="59" spans="2:22" ht="17" customHeight="1" x14ac:dyDescent="0.2">
      <c r="B59" s="57" t="str">
        <f>IF(Clases!$B56="","",Clases!$B56)</f>
        <v/>
      </c>
      <c r="C59" s="60" t="str">
        <f>IF($B59="","",Clases!C56)</f>
        <v/>
      </c>
      <c r="D59" s="59" t="str">
        <f>IF($B59="","",Clases!D56)</f>
        <v/>
      </c>
      <c r="E59" s="60" t="str">
        <f>IF($B59="","",Clases!E56)</f>
        <v/>
      </c>
      <c r="F59" s="60" t="str">
        <f>IF($B59="","",Clases!F56)</f>
        <v/>
      </c>
      <c r="G59" s="32" t="str">
        <f>IF($B59="","",Clases!I56)</f>
        <v/>
      </c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77" t="str">
        <f t="shared" si="5"/>
        <v/>
      </c>
      <c r="U59" s="78" t="str">
        <f t="shared" si="6"/>
        <v/>
      </c>
      <c r="V59">
        <f>N(Clases!U56)</f>
        <v>0</v>
      </c>
    </row>
    <row r="60" spans="2:22" ht="17" customHeight="1" x14ac:dyDescent="0.2">
      <c r="B60" s="57" t="str">
        <f>IF(Clases!$B57="","",Clases!$B57)</f>
        <v/>
      </c>
      <c r="C60" s="60" t="str">
        <f>IF($B60="","",Clases!C57)</f>
        <v/>
      </c>
      <c r="D60" s="59" t="str">
        <f>IF($B60="","",Clases!D57)</f>
        <v/>
      </c>
      <c r="E60" s="60" t="str">
        <f>IF($B60="","",Clases!E57)</f>
        <v/>
      </c>
      <c r="F60" s="60" t="str">
        <f>IF($B60="","",Clases!F57)</f>
        <v/>
      </c>
      <c r="G60" s="32" t="str">
        <f>IF($B60="","",Clases!I57)</f>
        <v/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77" t="str">
        <f t="shared" si="5"/>
        <v/>
      </c>
      <c r="U60" s="78" t="str">
        <f t="shared" si="6"/>
        <v/>
      </c>
      <c r="V60">
        <f>N(Clases!U57)</f>
        <v>0</v>
      </c>
    </row>
    <row r="61" spans="2:22" ht="17" customHeight="1" x14ac:dyDescent="0.2">
      <c r="B61" s="57" t="str">
        <f>IF(Clases!$B58="","",Clases!$B58)</f>
        <v/>
      </c>
      <c r="C61" s="60" t="str">
        <f>IF($B61="","",Clases!C58)</f>
        <v/>
      </c>
      <c r="D61" s="59" t="str">
        <f>IF($B61="","",Clases!D58)</f>
        <v/>
      </c>
      <c r="E61" s="60" t="str">
        <f>IF($B61="","",Clases!E58)</f>
        <v/>
      </c>
      <c r="F61" s="60" t="str">
        <f>IF($B61="","",Clases!F58)</f>
        <v/>
      </c>
      <c r="G61" s="32" t="str">
        <f>IF($B61="","",Clases!I58)</f>
        <v/>
      </c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77" t="str">
        <f t="shared" si="5"/>
        <v/>
      </c>
      <c r="U61" s="78" t="str">
        <f t="shared" si="6"/>
        <v/>
      </c>
      <c r="V61">
        <f>N(Clases!U58)</f>
        <v>0</v>
      </c>
    </row>
    <row r="62" spans="2:22" ht="17" customHeight="1" x14ac:dyDescent="0.2">
      <c r="B62" s="57" t="str">
        <f>IF(Clases!$B59="","",Clases!$B59)</f>
        <v/>
      </c>
      <c r="C62" s="60" t="str">
        <f>IF($B62="","",Clases!C59)</f>
        <v/>
      </c>
      <c r="D62" s="59" t="str">
        <f>IF($B62="","",Clases!D59)</f>
        <v/>
      </c>
      <c r="E62" s="60" t="str">
        <f>IF($B62="","",Clases!E59)</f>
        <v/>
      </c>
      <c r="F62" s="60" t="str">
        <f>IF($B62="","",Clases!F59)</f>
        <v/>
      </c>
      <c r="G62" s="32" t="str">
        <f>IF($B62="","",Clases!I59)</f>
        <v/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77" t="str">
        <f t="shared" si="5"/>
        <v/>
      </c>
      <c r="U62" s="78" t="str">
        <f t="shared" si="6"/>
        <v/>
      </c>
      <c r="V62">
        <f>N(Clases!U59)</f>
        <v>0</v>
      </c>
    </row>
    <row r="63" spans="2:22" ht="17" customHeight="1" x14ac:dyDescent="0.2">
      <c r="B63" s="57" t="str">
        <f>IF(Clases!$B60="","",Clases!$B60)</f>
        <v/>
      </c>
      <c r="C63" s="60" t="str">
        <f>IF($B63="","",Clases!C60)</f>
        <v/>
      </c>
      <c r="D63" s="59" t="str">
        <f>IF($B63="","",Clases!D60)</f>
        <v/>
      </c>
      <c r="E63" s="60" t="str">
        <f>IF($B63="","",Clases!E60)</f>
        <v/>
      </c>
      <c r="F63" s="60" t="str">
        <f>IF($B63="","",Clases!F60)</f>
        <v/>
      </c>
      <c r="G63" s="32" t="str">
        <f>IF($B63="","",Clases!I60)</f>
        <v/>
      </c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77" t="str">
        <f t="shared" si="5"/>
        <v/>
      </c>
      <c r="U63" s="78" t="str">
        <f t="shared" si="6"/>
        <v/>
      </c>
      <c r="V63">
        <f>N(Clases!U60)</f>
        <v>0</v>
      </c>
    </row>
    <row r="64" spans="2:22" ht="17" customHeight="1" x14ac:dyDescent="0.2">
      <c r="B64" s="57" t="str">
        <f>IF(Clases!$B61="","",Clases!$B61)</f>
        <v/>
      </c>
      <c r="C64" s="60" t="str">
        <f>IF($B64="","",Clases!C61)</f>
        <v/>
      </c>
      <c r="D64" s="59" t="str">
        <f>IF($B64="","",Clases!D61)</f>
        <v/>
      </c>
      <c r="E64" s="60" t="str">
        <f>IF($B64="","",Clases!E61)</f>
        <v/>
      </c>
      <c r="F64" s="60" t="str">
        <f>IF($B64="","",Clases!F61)</f>
        <v/>
      </c>
      <c r="G64" s="32" t="str">
        <f>IF($B64="","",Clases!I61)</f>
        <v/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77" t="str">
        <f t="shared" si="5"/>
        <v/>
      </c>
      <c r="U64" s="78" t="str">
        <f t="shared" si="6"/>
        <v/>
      </c>
      <c r="V64">
        <f>N(Clases!U61)</f>
        <v>0</v>
      </c>
    </row>
    <row r="65" spans="2:22" ht="17" customHeight="1" x14ac:dyDescent="0.2">
      <c r="B65" s="57" t="str">
        <f>IF(Clases!$B62="","",Clases!$B62)</f>
        <v/>
      </c>
      <c r="C65" s="60" t="str">
        <f>IF($B65="","",Clases!C62)</f>
        <v/>
      </c>
      <c r="D65" s="59" t="str">
        <f>IF($B65="","",Clases!D62)</f>
        <v/>
      </c>
      <c r="E65" s="60" t="str">
        <f>IF($B65="","",Clases!E62)</f>
        <v/>
      </c>
      <c r="F65" s="60" t="str">
        <f>IF($B65="","",Clases!F62)</f>
        <v/>
      </c>
      <c r="G65" s="32" t="str">
        <f>IF($B65="","",Clases!I62)</f>
        <v/>
      </c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77" t="str">
        <f t="shared" si="5"/>
        <v/>
      </c>
      <c r="U65" s="78" t="str">
        <f t="shared" si="6"/>
        <v/>
      </c>
      <c r="V65">
        <f>N(Clases!U62)</f>
        <v>0</v>
      </c>
    </row>
    <row r="66" spans="2:22" ht="17" customHeight="1" x14ac:dyDescent="0.2">
      <c r="B66" s="57" t="str">
        <f>IF(Clases!$B63="","",Clases!$B63)</f>
        <v/>
      </c>
      <c r="C66" s="60" t="str">
        <f>IF($B66="","",Clases!C63)</f>
        <v/>
      </c>
      <c r="D66" s="59" t="str">
        <f>IF($B66="","",Clases!D63)</f>
        <v/>
      </c>
      <c r="E66" s="60" t="str">
        <f>IF($B66="","",Clases!E63)</f>
        <v/>
      </c>
      <c r="F66" s="60" t="str">
        <f>IF($B66="","",Clases!F63)</f>
        <v/>
      </c>
      <c r="G66" s="32" t="str">
        <f>IF($B66="","",Clases!I63)</f>
        <v/>
      </c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77" t="str">
        <f t="shared" si="5"/>
        <v/>
      </c>
      <c r="U66" s="78" t="str">
        <f t="shared" si="6"/>
        <v/>
      </c>
      <c r="V66">
        <f>N(Clases!U63)</f>
        <v>0</v>
      </c>
    </row>
    <row r="67" spans="2:22" ht="17" customHeight="1" x14ac:dyDescent="0.2">
      <c r="B67" s="57" t="str">
        <f>IF(Clases!$B64="","",Clases!$B64)</f>
        <v/>
      </c>
      <c r="C67" s="60" t="str">
        <f>IF($B67="","",Clases!C64)</f>
        <v/>
      </c>
      <c r="D67" s="59" t="str">
        <f>IF($B67="","",Clases!D64)</f>
        <v/>
      </c>
      <c r="E67" s="60" t="str">
        <f>IF($B67="","",Clases!E64)</f>
        <v/>
      </c>
      <c r="F67" s="60" t="str">
        <f>IF($B67="","",Clases!F64)</f>
        <v/>
      </c>
      <c r="G67" s="32" t="str">
        <f>IF($B67="","",Clases!I64)</f>
        <v/>
      </c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77" t="str">
        <f t="shared" si="5"/>
        <v/>
      </c>
      <c r="U67" s="78" t="str">
        <f t="shared" si="6"/>
        <v/>
      </c>
      <c r="V67">
        <f>N(Clases!U64)</f>
        <v>0</v>
      </c>
    </row>
    <row r="68" spans="2:22" ht="17" customHeight="1" x14ac:dyDescent="0.2">
      <c r="B68" s="57" t="str">
        <f>IF(Clases!$B65="","",Clases!$B65)</f>
        <v/>
      </c>
      <c r="C68" s="60" t="str">
        <f>IF($B68="","",Clases!C65)</f>
        <v/>
      </c>
      <c r="D68" s="59" t="str">
        <f>IF($B68="","",Clases!D65)</f>
        <v/>
      </c>
      <c r="E68" s="60" t="str">
        <f>IF($B68="","",Clases!E65)</f>
        <v/>
      </c>
      <c r="F68" s="60" t="str">
        <f>IF($B68="","",Clases!F65)</f>
        <v/>
      </c>
      <c r="G68" s="32" t="str">
        <f>IF($B68="","",Clases!I65)</f>
        <v/>
      </c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77" t="str">
        <f t="shared" si="5"/>
        <v/>
      </c>
      <c r="U68" s="78" t="str">
        <f t="shared" si="6"/>
        <v/>
      </c>
      <c r="V68">
        <f>N(Clases!U65)</f>
        <v>0</v>
      </c>
    </row>
  </sheetData>
  <mergeCells count="2">
    <mergeCell ref="B8:G8"/>
    <mergeCell ref="B7:G7"/>
  </mergeCells>
  <conditionalFormatting sqref="B9:B68">
    <cfRule type="expression" dxfId="66" priority="7">
      <formula>$V9=1</formula>
    </cfRule>
    <cfRule type="expression" dxfId="65" priority="8">
      <formula>$V9=2</formula>
    </cfRule>
    <cfRule type="expression" dxfId="64" priority="9">
      <formula>$V9=3</formula>
    </cfRule>
    <cfRule type="expression" dxfId="63" priority="10">
      <formula>$V9=4</formula>
    </cfRule>
    <cfRule type="expression" dxfId="62" priority="11">
      <formula>$V9=5</formula>
    </cfRule>
    <cfRule type="expression" dxfId="61" priority="12">
      <formula>$V9=6</formula>
    </cfRule>
    <cfRule type="expression" dxfId="60" priority="13">
      <formula>$V9=7</formula>
    </cfRule>
    <cfRule type="expression" dxfId="59" priority="14">
      <formula>$V9=8</formula>
    </cfRule>
    <cfRule type="expression" dxfId="58" priority="15">
      <formula>$V9=9</formula>
    </cfRule>
    <cfRule type="expression" dxfId="57" priority="16">
      <formula>$V9=10</formula>
    </cfRule>
    <cfRule type="expression" dxfId="56" priority="17">
      <formula>$V9=11</formula>
    </cfRule>
    <cfRule type="expression" dxfId="55" priority="18">
      <formula>$V9=12</formula>
    </cfRule>
  </conditionalFormatting>
  <conditionalFormatting sqref="H9:S68">
    <cfRule type="expression" dxfId="54" priority="1">
      <formula>AND(H9&lt;&gt;"",ISNUMBER($G9),H9&gt;$G9)</formula>
    </cfRule>
    <cfRule type="dataBar" priority="2">
      <dataBar>
        <cfvo type="num" val="0"/>
        <cfvo type="max"/>
        <color rgb="FF1DD6C1"/>
      </dataBar>
    </cfRule>
  </conditionalFormatting>
  <conditionalFormatting sqref="U9:U68">
    <cfRule type="expression" dxfId="53" priority="3">
      <formula>AND(ISNUMBER(U9),U9&gt;=$W$3)</formula>
    </cfRule>
    <cfRule type="expression" dxfId="52" priority="4">
      <formula>AND(ISNUMBER(U9),U9&gt;=$W$2)</formula>
    </cfRule>
    <cfRule type="expression" dxfId="51" priority="5">
      <formula>AND(ISNUMBER(U9),U9&gt;=$W$1)</formula>
    </cfRule>
    <cfRule type="expression" dxfId="50" priority="6">
      <formula>ISNUMBER(U9)</formula>
    </cfRule>
  </conditionalFormatting>
  <dataValidations count="1">
    <dataValidation type="whole" allowBlank="1" showErrorMessage="1" errorTitle="Asistencia" error="Escribe cuántas personas vinieron (un número entero). Déjalo vacío si no hubo clase." sqref="H9:S68" xr:uid="{00000000-0002-0000-0400-000000000000}">
      <formula1>0</formula1>
      <formula2>500</formula2>
    </dataValidation>
  </dataValidations>
  <printOptions horizontalCentered="1"/>
  <pageMargins left="0.4" right="0.4" top="0.45" bottom="0.55000000000000004" header="0.2" footer="0.25"/>
  <pageSetup paperSize="9" fitToHeight="0" orientation="landscape"/>
  <headerFooter>
    <oddFooter>&amp;L&amp;"Arial,Regular"&amp;7 &amp;K5C697D&amp;A&amp;C&amp;"Arial,Regular"&amp;7 &amp;K5C697DPlantilla gratuita de GymGym · gymgym.es/recursos&amp;R&amp;"Arial,Regular"&amp;7 &amp;K5C697DPágina &amp;P de &amp;N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A3CCF"/>
    <pageSetUpPr fitToPage="1"/>
  </sheetPr>
  <dimension ref="B1:Z65"/>
  <sheetViews>
    <sheetView showGridLines="0" workbookViewId="0">
      <pane xSplit="5" ySplit="5" topLeftCell="F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2.5" customWidth="1"/>
    <col min="2" max="2" width="6" customWidth="1"/>
    <col min="3" max="3" width="11" customWidth="1"/>
    <col min="4" max="4" width="7.5" customWidth="1"/>
    <col min="5" max="5" width="17" customWidth="1"/>
    <col min="6" max="7" width="10" customWidth="1"/>
    <col min="8" max="8" width="8" customWidth="1"/>
    <col min="9" max="9" width="9" customWidth="1"/>
    <col min="10" max="10" width="10" customWidth="1"/>
    <col min="11" max="11" width="11" customWidth="1"/>
    <col min="12" max="12" width="9" customWidth="1"/>
    <col min="13" max="14" width="9.5" customWidth="1"/>
    <col min="15" max="15" width="10.5" customWidth="1"/>
    <col min="16" max="18" width="11" customWidth="1"/>
    <col min="19" max="19" width="31" customWidth="1"/>
    <col min="20" max="26" width="13" hidden="1" customWidth="1"/>
  </cols>
  <sheetData>
    <row r="1" spans="2:26" ht="30" customHeight="1" x14ac:dyDescent="0.25">
      <c r="B1" s="22" t="s">
        <v>125</v>
      </c>
      <c r="Z1" s="68">
        <f>Configuración!$C$18</f>
        <v>0.4</v>
      </c>
    </row>
    <row r="2" spans="2:26" ht="18" customHeight="1" x14ac:dyDescent="0.2">
      <c r="B2" s="23" t="s">
        <v>126</v>
      </c>
      <c r="Z2" s="68">
        <f>Configuración!$C$19</f>
        <v>0.65</v>
      </c>
    </row>
    <row r="3" spans="2:26" ht="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Z3" s="68">
        <f>Configuración!$C$20</f>
        <v>0.9</v>
      </c>
    </row>
    <row r="4" spans="2:26" ht="20" customHeight="1" x14ac:dyDescent="0.2">
      <c r="B4" s="159" t="str">
        <f>"Ocupación: menos del "&amp;ROUND($Z$1*100,0)&amp;" %"</f>
        <v>Ocupación: menos del 40 %</v>
      </c>
      <c r="C4" s="160"/>
      <c r="D4" s="160"/>
      <c r="E4" s="160"/>
      <c r="F4" s="161" t="str">
        <f>"De "&amp;ROUND($Z$1*100,0)&amp;" a "&amp;ROUND($Z$2*100,0)&amp;" %"</f>
        <v>De 40 a 65 %</v>
      </c>
      <c r="G4" s="162"/>
      <c r="H4" s="162"/>
      <c r="I4" s="163" t="str">
        <f>"De "&amp;ROUND($Z$2*100,0)&amp;" a "&amp;ROUND($Z$3*100,0)&amp;" %"</f>
        <v>De 65 a 90 %</v>
      </c>
      <c r="J4" s="164"/>
      <c r="K4" s="164"/>
      <c r="L4" s="165" t="str">
        <f>"Llena: "&amp;ROUND($Z$3*100,0)&amp;" % o más"</f>
        <v>Llena: 90 % o más</v>
      </c>
      <c r="M4" s="166"/>
      <c r="N4" s="166"/>
      <c r="O4" s="167" t="str">
        <f>"Ingreso imputado = media de asistentes × "&amp;ROUND(Configuración!$C$15,2)&amp;" € por asistencia"</f>
        <v>Ingreso imputado = media de asistentes × 6,89 € por asistencia</v>
      </c>
      <c r="P4" s="142"/>
      <c r="Q4" s="142"/>
      <c r="R4" s="142"/>
      <c r="S4" s="142"/>
      <c r="Z4" s="68">
        <f>Configuración!$C$21</f>
        <v>-0.15</v>
      </c>
    </row>
    <row r="5" spans="2:26" ht="36" customHeight="1" x14ac:dyDescent="0.2">
      <c r="B5" s="79" t="s">
        <v>94</v>
      </c>
      <c r="C5" s="79" t="s">
        <v>95</v>
      </c>
      <c r="D5" s="79" t="s">
        <v>117</v>
      </c>
      <c r="E5" s="79" t="s">
        <v>74</v>
      </c>
      <c r="F5" s="79" t="s">
        <v>40</v>
      </c>
      <c r="G5" s="79" t="s">
        <v>55</v>
      </c>
      <c r="H5" s="79" t="s">
        <v>98</v>
      </c>
      <c r="I5" s="79" t="s">
        <v>127</v>
      </c>
      <c r="J5" s="79" t="s">
        <v>128</v>
      </c>
      <c r="K5" s="79" t="s">
        <v>121</v>
      </c>
      <c r="L5" s="79" t="s">
        <v>129</v>
      </c>
      <c r="M5" s="79" t="s">
        <v>130</v>
      </c>
      <c r="N5" s="79" t="s">
        <v>131</v>
      </c>
      <c r="O5" s="79" t="s">
        <v>132</v>
      </c>
      <c r="P5" s="79" t="s">
        <v>133</v>
      </c>
      <c r="Q5" s="79" t="s">
        <v>134</v>
      </c>
      <c r="R5" s="79" t="s">
        <v>135</v>
      </c>
      <c r="S5" s="79" t="s">
        <v>136</v>
      </c>
      <c r="T5" t="s">
        <v>137</v>
      </c>
      <c r="U5" t="s">
        <v>138</v>
      </c>
      <c r="V5" t="s">
        <v>139</v>
      </c>
      <c r="W5" t="s">
        <v>140</v>
      </c>
    </row>
    <row r="6" spans="2:26" ht="18" customHeight="1" x14ac:dyDescent="0.2">
      <c r="B6" s="57">
        <f>IF(Clases!$B6="","",Clases!$B6)</f>
        <v>1</v>
      </c>
      <c r="C6" s="60" t="str">
        <f>IF($B6="","",Clases!C6)</f>
        <v>Lunes</v>
      </c>
      <c r="D6" s="59">
        <f>IF($B6="","",Clases!D6)</f>
        <v>0.29166666666666669</v>
      </c>
      <c r="E6" s="60" t="str">
        <f>IF($B6="","",Clases!E6)</f>
        <v>Cross training</v>
      </c>
      <c r="F6" s="60" t="str">
        <f>IF($B6="","",Clases!F6)</f>
        <v>Box</v>
      </c>
      <c r="G6" s="60" t="str">
        <f>IF($B6="","",IF(Clases!G6="","—",Clases!G6))</f>
        <v>Marta</v>
      </c>
      <c r="H6" s="32">
        <f>IF($B6="","",Clases!I6)</f>
        <v>16</v>
      </c>
      <c r="I6" s="32">
        <f>IF($B6="","",COUNT(Asistencia!H9:S9))</f>
        <v>11</v>
      </c>
      <c r="J6" s="37">
        <f>IF($B6="","",IF(I6=0,"",AVERAGE(Asistencia!H9:S9)))</f>
        <v>14.727272727272727</v>
      </c>
      <c r="K6" s="80">
        <f t="shared" ref="K6:K37" si="0">IF(OR(J6="",N(H6)=0),"",J6/H6)</f>
        <v>0.92045454545454541</v>
      </c>
      <c r="L6" s="37">
        <f t="shared" ref="L6:L37" si="1">IF(K6="","",MAX(0,H6-J6))</f>
        <v>1.2727272727272734</v>
      </c>
      <c r="M6" s="37">
        <f>IF(J6="","",IFERROR(AVERAGEIFS(Asistencia!H9:S9,Asistencia!$H$5:$S$5,"&lt;=4"),""))</f>
        <v>12.75</v>
      </c>
      <c r="N6" s="37">
        <f>IF(OR(J6="",Asistencia!$T$4&lt;8),"",IFERROR(AVERAGEIFS(Asistencia!H9:S9,Asistencia!$H$5:$S$5,"&gt;="&amp;(Asistencia!$T$4-3),Asistencia!$H$5:$S$5,"&lt;="&amp;Asistencia!$T$4),""))</f>
        <v>16</v>
      </c>
      <c r="O6" s="81">
        <f t="shared" ref="O6:O37" si="2">IF(OR(M6="",N6=""),"",IF(M6=0,"",N6/M6-1))</f>
        <v>0.25490196078431371</v>
      </c>
      <c r="P6" s="61">
        <f>IF(J6="","",J6*Configuración!$C$15)</f>
        <v>101.45454545454545</v>
      </c>
      <c r="Q6" s="61">
        <f>IF($B6="","",IF(Clases!M6="",0,Clases!M6))</f>
        <v>18</v>
      </c>
      <c r="R6" s="82">
        <f t="shared" ref="R6:R37" si="3">IF(P6="","",P6-Q6)</f>
        <v>83.454545454545453</v>
      </c>
      <c r="S6" s="60" t="str">
        <f>IF($B6="","",IF(J6="","Apunta la asistencia",IF(K6="","Faltan las plazas de la clase",IF(K6&gt;=Configuración!$C$20,"Casi llena: abre otra sesión",IF(K6&lt;Configuración!$C$18,"Revisa horario o formato",IF(R6&lt;0,"No cubre el coste del monitor",IF(AND(ISNUMBER(O6),N(O6)&lt;=Configuración!$C$21),"Va a menos: pregunta por qué",IF(K6&lt;Configuración!$C$19,"Dale visibilidad entre tus socios","Va bien: mantenla"))))))))</f>
        <v>Casi llena: abre otra sesión</v>
      </c>
      <c r="T6">
        <f t="shared" ref="T6:T37" si="4">IF(K6="","",K6+B6/10000000)</f>
        <v>0.92045464545454536</v>
      </c>
      <c r="U6">
        <f t="shared" ref="U6:U37" si="5">IF(K6="",0,H6)</f>
        <v>16</v>
      </c>
      <c r="V6">
        <f t="shared" ref="V6:V37" si="6">IF(K6="",0,J6)</f>
        <v>14.727272727272727</v>
      </c>
      <c r="W6" t="str">
        <f>IF($B6="","",Clases!L6)</f>
        <v>Primera hora</v>
      </c>
      <c r="X6">
        <f>N(Clases!U6)</f>
        <v>1</v>
      </c>
    </row>
    <row r="7" spans="2:26" ht="18" customHeight="1" x14ac:dyDescent="0.2">
      <c r="B7" s="83">
        <f>IF(Clases!$B7="","",Clases!$B7)</f>
        <v>2</v>
      </c>
      <c r="C7" s="84" t="str">
        <f>IF($B7="","",Clases!C7)</f>
        <v>Lunes</v>
      </c>
      <c r="D7" s="85">
        <f>IF($B7="","",Clases!D7)</f>
        <v>0.375</v>
      </c>
      <c r="E7" s="84" t="str">
        <f>IF($B7="","",Clases!E7)</f>
        <v>Pilates</v>
      </c>
      <c r="F7" s="84" t="str">
        <f>IF($B7="","",Clases!F7)</f>
        <v>Estudio</v>
      </c>
      <c r="G7" s="84" t="str">
        <f>IF($B7="","",IF(Clases!G7="","—",Clases!G7))</f>
        <v>Sara</v>
      </c>
      <c r="H7" s="86">
        <f>IF($B7="","",Clases!I7)</f>
        <v>12</v>
      </c>
      <c r="I7" s="86">
        <f>IF($B7="","",COUNT(Asistencia!H10:S10))</f>
        <v>11</v>
      </c>
      <c r="J7" s="87">
        <f>IF($B7="","",IF(I7=0,"",AVERAGE(Asistencia!H10:S10)))</f>
        <v>9.3636363636363633</v>
      </c>
      <c r="K7" s="88">
        <f t="shared" si="0"/>
        <v>0.78030303030303028</v>
      </c>
      <c r="L7" s="87">
        <f t="shared" si="1"/>
        <v>2.6363636363636367</v>
      </c>
      <c r="M7" s="87">
        <f>IF(J7="","",IFERROR(AVERAGEIFS(Asistencia!H10:S10,Asistencia!$H$5:$S$5,"&lt;=4"),""))</f>
        <v>8</v>
      </c>
      <c r="N7" s="87">
        <f>IF(OR(J7="",Asistencia!$T$4&lt;8),"",IFERROR(AVERAGEIFS(Asistencia!H10:S10,Asistencia!$H$5:$S$5,"&gt;="&amp;(Asistencia!$T$4-3),Asistencia!$H$5:$S$5,"&lt;="&amp;Asistencia!$T$4),""))</f>
        <v>10.666666666666666</v>
      </c>
      <c r="O7" s="89">
        <f t="shared" si="2"/>
        <v>0.33333333333333326</v>
      </c>
      <c r="P7" s="90">
        <f>IF(J7="","",J7*Configuración!$C$15)</f>
        <v>64.505050505050505</v>
      </c>
      <c r="Q7" s="90">
        <f>IF($B7="","",IF(Clases!M7="",0,Clases!M7))</f>
        <v>20.166666666666668</v>
      </c>
      <c r="R7" s="91">
        <f t="shared" si="3"/>
        <v>44.338383838383834</v>
      </c>
      <c r="S7" s="84" t="str">
        <f>IF($B7="","",IF(J7="","Apunta la asistencia",IF(K7="","Faltan las plazas de la clase",IF(K7&gt;=Configuración!$C$20,"Casi llena: abre otra sesión",IF(K7&lt;Configuración!$C$18,"Revisa horario o formato",IF(R7&lt;0,"No cubre el coste del monitor",IF(AND(ISNUMBER(O7),N(O7)&lt;=Configuración!$C$21),"Va a menos: pregunta por qué",IF(K7&lt;Configuración!$C$19,"Dale visibilidad entre tus socios","Va bien: mantenla"))))))))</f>
        <v>Va bien: mantenla</v>
      </c>
      <c r="T7">
        <f t="shared" si="4"/>
        <v>0.78030323030303028</v>
      </c>
      <c r="U7">
        <f t="shared" si="5"/>
        <v>12</v>
      </c>
      <c r="V7">
        <f t="shared" si="6"/>
        <v>9.3636363636363633</v>
      </c>
      <c r="W7" t="str">
        <f>IF($B7="","",Clases!L7)</f>
        <v>Mañana</v>
      </c>
      <c r="X7">
        <f>N(Clases!U7)</f>
        <v>3</v>
      </c>
    </row>
    <row r="8" spans="2:26" ht="18" customHeight="1" x14ac:dyDescent="0.2">
      <c r="B8" s="57">
        <f>IF(Clases!$B8="","",Clases!$B8)</f>
        <v>3</v>
      </c>
      <c r="C8" s="60" t="str">
        <f>IF($B8="","",Clases!C8)</f>
        <v>Lunes</v>
      </c>
      <c r="D8" s="59">
        <f>IF($B8="","",Clases!D8)</f>
        <v>0.58333333333333337</v>
      </c>
      <c r="E8" s="60" t="str">
        <f>IF($B8="","",Clases!E8)</f>
        <v>HIIT</v>
      </c>
      <c r="F8" s="60" t="str">
        <f>IF($B8="","",Clases!F8)</f>
        <v>Box</v>
      </c>
      <c r="G8" s="60" t="str">
        <f>IF($B8="","",IF(Clases!G8="","—",Clases!G8))</f>
        <v>Dani</v>
      </c>
      <c r="H8" s="32">
        <f>IF($B8="","",Clases!I8)</f>
        <v>16</v>
      </c>
      <c r="I8" s="32">
        <f>IF($B8="","",COUNT(Asistencia!H11:S11))</f>
        <v>11</v>
      </c>
      <c r="J8" s="37">
        <f>IF($B8="","",IF(I8=0,"",AVERAGE(Asistencia!H11:S11)))</f>
        <v>5.7272727272727275</v>
      </c>
      <c r="K8" s="80">
        <f t="shared" si="0"/>
        <v>0.35795454545454547</v>
      </c>
      <c r="L8" s="37">
        <f t="shared" si="1"/>
        <v>10.272727272727273</v>
      </c>
      <c r="M8" s="37">
        <f>IF(J8="","",IFERROR(AVERAGEIFS(Asistencia!H11:S11,Asistencia!$H$5:$S$5,"&lt;=4"),""))</f>
        <v>6.5</v>
      </c>
      <c r="N8" s="37">
        <f>IF(OR(J8="",Asistencia!$T$4&lt;8),"",IFERROR(AVERAGEIFS(Asistencia!H11:S11,Asistencia!$H$5:$S$5,"&gt;="&amp;(Asistencia!$T$4-3),Asistencia!$H$5:$S$5,"&lt;="&amp;Asistencia!$T$4),""))</f>
        <v>4.333333333333333</v>
      </c>
      <c r="O8" s="81">
        <f t="shared" si="2"/>
        <v>-0.33333333333333337</v>
      </c>
      <c r="P8" s="61">
        <f>IF(J8="","",J8*Configuración!$C$15)</f>
        <v>39.45454545454546</v>
      </c>
      <c r="Q8" s="61">
        <f>IF($B8="","",IF(Clases!M8="",0,Clases!M8))</f>
        <v>12</v>
      </c>
      <c r="R8" s="82">
        <f t="shared" si="3"/>
        <v>27.45454545454546</v>
      </c>
      <c r="S8" s="60" t="str">
        <f>IF($B8="","",IF(J8="","Apunta la asistencia",IF(K8="","Faltan las plazas de la clase",IF(K8&gt;=Configuración!$C$20,"Casi llena: abre otra sesión",IF(K8&lt;Configuración!$C$18,"Revisa horario o formato",IF(R8&lt;0,"No cubre el coste del monitor",IF(AND(ISNUMBER(O8),N(O8)&lt;=Configuración!$C$21),"Va a menos: pregunta por qué",IF(K8&lt;Configuración!$C$19,"Dale visibilidad entre tus socios","Va bien: mantenla"))))))))</f>
        <v>Revisa horario o formato</v>
      </c>
      <c r="T8">
        <f t="shared" si="4"/>
        <v>0.35795484545454548</v>
      </c>
      <c r="U8">
        <f t="shared" si="5"/>
        <v>16</v>
      </c>
      <c r="V8">
        <f t="shared" si="6"/>
        <v>5.7272727272727275</v>
      </c>
      <c r="W8" t="str">
        <f>IF($B8="","",Clases!L8)</f>
        <v>Mediodía</v>
      </c>
      <c r="X8">
        <f>N(Clases!U8)</f>
        <v>2</v>
      </c>
    </row>
    <row r="9" spans="2:26" ht="18" customHeight="1" x14ac:dyDescent="0.2">
      <c r="B9" s="83">
        <f>IF(Clases!$B9="","",Clases!$B9)</f>
        <v>4</v>
      </c>
      <c r="C9" s="84" t="str">
        <f>IF($B9="","",Clases!C9)</f>
        <v>Lunes</v>
      </c>
      <c r="D9" s="85">
        <f>IF($B9="","",Clases!D9)</f>
        <v>0.75</v>
      </c>
      <c r="E9" s="84" t="str">
        <f>IF($B9="","",Clases!E9)</f>
        <v>Pilates</v>
      </c>
      <c r="F9" s="84" t="str">
        <f>IF($B9="","",Clases!F9)</f>
        <v>Estudio</v>
      </c>
      <c r="G9" s="84" t="str">
        <f>IF($B9="","",IF(Clases!G9="","—",Clases!G9))</f>
        <v>Sara</v>
      </c>
      <c r="H9" s="86">
        <f>IF($B9="","",Clases!I9)</f>
        <v>12</v>
      </c>
      <c r="I9" s="86">
        <f>IF($B9="","",COUNT(Asistencia!H12:S12))</f>
        <v>11</v>
      </c>
      <c r="J9" s="87">
        <f>IF($B9="","",IF(I9=0,"",AVERAGE(Asistencia!H12:S12)))</f>
        <v>8.454545454545455</v>
      </c>
      <c r="K9" s="88">
        <f t="shared" si="0"/>
        <v>0.70454545454545459</v>
      </c>
      <c r="L9" s="87">
        <f t="shared" si="1"/>
        <v>3.545454545454545</v>
      </c>
      <c r="M9" s="87">
        <f>IF(J9="","",IFERROR(AVERAGEIFS(Asistencia!H12:S12,Asistencia!$H$5:$S$5,"&lt;=4"),""))</f>
        <v>7.75</v>
      </c>
      <c r="N9" s="87">
        <f>IF(OR(J9="",Asistencia!$T$4&lt;8),"",IFERROR(AVERAGEIFS(Asistencia!H12:S12,Asistencia!$H$5:$S$5,"&gt;="&amp;(Asistencia!$T$4-3),Asistencia!$H$5:$S$5,"&lt;="&amp;Asistencia!$T$4),""))</f>
        <v>9</v>
      </c>
      <c r="O9" s="89">
        <f t="shared" si="2"/>
        <v>0.16129032258064524</v>
      </c>
      <c r="P9" s="90">
        <f>IF(J9="","",J9*Configuración!$C$15)</f>
        <v>58.242424242424249</v>
      </c>
      <c r="Q9" s="90">
        <f>IF($B9="","",IF(Clases!M9="",0,Clases!M9))</f>
        <v>20.166666666666668</v>
      </c>
      <c r="R9" s="91">
        <f t="shared" si="3"/>
        <v>38.075757575757578</v>
      </c>
      <c r="S9" s="84" t="str">
        <f>IF($B9="","",IF(J9="","Apunta la asistencia",IF(K9="","Faltan las plazas de la clase",IF(K9&gt;=Configuración!$C$20,"Casi llena: abre otra sesión",IF(K9&lt;Configuración!$C$18,"Revisa horario o formato",IF(R9&lt;0,"No cubre el coste del monitor",IF(AND(ISNUMBER(O9),N(O9)&lt;=Configuración!$C$21),"Va a menos: pregunta por qué",IF(K9&lt;Configuración!$C$19,"Dale visibilidad entre tus socios","Va bien: mantenla"))))))))</f>
        <v>Va bien: mantenla</v>
      </c>
      <c r="T9">
        <f t="shared" si="4"/>
        <v>0.7045458545454546</v>
      </c>
      <c r="U9">
        <f t="shared" si="5"/>
        <v>12</v>
      </c>
      <c r="V9">
        <f t="shared" si="6"/>
        <v>8.454545454545455</v>
      </c>
      <c r="W9" t="str">
        <f>IF($B9="","",Clases!L9)</f>
        <v>Tarde</v>
      </c>
      <c r="X9">
        <f>N(Clases!U9)</f>
        <v>3</v>
      </c>
    </row>
    <row r="10" spans="2:26" ht="18" customHeight="1" x14ac:dyDescent="0.2">
      <c r="B10" s="57">
        <f>IF(Clases!$B10="","",Clases!$B10)</f>
        <v>5</v>
      </c>
      <c r="C10" s="60" t="str">
        <f>IF($B10="","",Clases!C10)</f>
        <v>Lunes</v>
      </c>
      <c r="D10" s="59">
        <f>IF($B10="","",Clases!D10)</f>
        <v>0.79166666666666663</v>
      </c>
      <c r="E10" s="60" t="str">
        <f>IF($B10="","",Clases!E10)</f>
        <v>Cross training</v>
      </c>
      <c r="F10" s="60" t="str">
        <f>IF($B10="","",Clases!F10)</f>
        <v>Box</v>
      </c>
      <c r="G10" s="60" t="str">
        <f>IF($B10="","",IF(Clases!G10="","—",Clases!G10))</f>
        <v>Javi</v>
      </c>
      <c r="H10" s="32">
        <f>IF($B10="","",Clases!I10)</f>
        <v>16</v>
      </c>
      <c r="I10" s="32">
        <f>IF($B10="","",COUNT(Asistencia!H13:S13))</f>
        <v>11</v>
      </c>
      <c r="J10" s="37">
        <f>IF($B10="","",IF(I10=0,"",AVERAGE(Asistencia!H13:S13)))</f>
        <v>14.818181818181818</v>
      </c>
      <c r="K10" s="80">
        <f t="shared" si="0"/>
        <v>0.92613636363636365</v>
      </c>
      <c r="L10" s="37">
        <f t="shared" si="1"/>
        <v>1.1818181818181817</v>
      </c>
      <c r="M10" s="37">
        <f>IF(J10="","",IFERROR(AVERAGEIFS(Asistencia!H13:S13,Asistencia!$H$5:$S$5,"&lt;=4"),""))</f>
        <v>13.25</v>
      </c>
      <c r="N10" s="37">
        <f>IF(OR(J10="",Asistencia!$T$4&lt;8),"",IFERROR(AVERAGEIFS(Asistencia!H13:S13,Asistencia!$H$5:$S$5,"&gt;="&amp;(Asistencia!$T$4-3),Asistencia!$H$5:$S$5,"&lt;="&amp;Asistencia!$T$4),""))</f>
        <v>16</v>
      </c>
      <c r="O10" s="81">
        <f t="shared" si="2"/>
        <v>0.20754716981132071</v>
      </c>
      <c r="P10" s="61">
        <f>IF(J10="","",J10*Configuración!$C$15)</f>
        <v>102.08080808080808</v>
      </c>
      <c r="Q10" s="61">
        <f>IF($B10="","",IF(Clases!M10="",0,Clases!M10))</f>
        <v>20</v>
      </c>
      <c r="R10" s="82">
        <f t="shared" si="3"/>
        <v>82.080808080808083</v>
      </c>
      <c r="S10" s="60" t="str">
        <f>IF($B10="","",IF(J10="","Apunta la asistencia",IF(K10="","Faltan las plazas de la clase",IF(K10&gt;=Configuración!$C$20,"Casi llena: abre otra sesión",IF(K10&lt;Configuración!$C$18,"Revisa horario o formato",IF(R10&lt;0,"No cubre el coste del monitor",IF(AND(ISNUMBER(O10),N(O10)&lt;=Configuración!$C$21),"Va a menos: pregunta por qué",IF(K10&lt;Configuración!$C$19,"Dale visibilidad entre tus socios","Va bien: mantenla"))))))))</f>
        <v>Casi llena: abre otra sesión</v>
      </c>
      <c r="T10">
        <f t="shared" si="4"/>
        <v>0.92613686363636361</v>
      </c>
      <c r="U10">
        <f t="shared" si="5"/>
        <v>16</v>
      </c>
      <c r="V10">
        <f t="shared" si="6"/>
        <v>14.818181818181818</v>
      </c>
      <c r="W10" t="str">
        <f>IF($B10="","",Clases!L10)</f>
        <v>Tarde-noche</v>
      </c>
      <c r="X10">
        <f>N(Clases!U10)</f>
        <v>1</v>
      </c>
    </row>
    <row r="11" spans="2:26" ht="18" customHeight="1" x14ac:dyDescent="0.2">
      <c r="B11" s="83">
        <f>IF(Clases!$B11="","",Clases!$B11)</f>
        <v>6</v>
      </c>
      <c r="C11" s="84" t="str">
        <f>IF($B11="","",Clases!C11)</f>
        <v>Lunes</v>
      </c>
      <c r="D11" s="85">
        <f>IF($B11="","",Clases!D11)</f>
        <v>0.79166666666666663</v>
      </c>
      <c r="E11" s="84" t="str">
        <f>IF($B11="","",Clases!E11)</f>
        <v>Ciclo indoor</v>
      </c>
      <c r="F11" s="84" t="str">
        <f>IF($B11="","",Clases!F11)</f>
        <v>Estudio</v>
      </c>
      <c r="G11" s="84" t="str">
        <f>IF($B11="","",IF(Clases!G11="","—",Clases!G11))</f>
        <v>Dani</v>
      </c>
      <c r="H11" s="86">
        <f>IF($B11="","",Clases!I11)</f>
        <v>12</v>
      </c>
      <c r="I11" s="86">
        <f>IF($B11="","",COUNT(Asistencia!H14:S14))</f>
        <v>11</v>
      </c>
      <c r="J11" s="87">
        <f>IF($B11="","",IF(I11=0,"",AVERAGE(Asistencia!H14:S14)))</f>
        <v>11</v>
      </c>
      <c r="K11" s="88">
        <f t="shared" si="0"/>
        <v>0.91666666666666663</v>
      </c>
      <c r="L11" s="87">
        <f t="shared" si="1"/>
        <v>1</v>
      </c>
      <c r="M11" s="87">
        <f>IF(J11="","",IFERROR(AVERAGEIFS(Asistencia!H14:S14,Asistencia!$H$5:$S$5,"&lt;=4"),""))</f>
        <v>10.25</v>
      </c>
      <c r="N11" s="87">
        <f>IF(OR(J11="",Asistencia!$T$4&lt;8),"",IFERROR(AVERAGEIFS(Asistencia!H14:S14,Asistencia!$H$5:$S$5,"&gt;="&amp;(Asistencia!$T$4-3),Asistencia!$H$5:$S$5,"&lt;="&amp;Asistencia!$T$4),""))</f>
        <v>11.666666666666666</v>
      </c>
      <c r="O11" s="89">
        <f t="shared" si="2"/>
        <v>0.13821138211382111</v>
      </c>
      <c r="P11" s="90">
        <f>IF(J11="","",J11*Configuración!$C$15)</f>
        <v>75.777777777777786</v>
      </c>
      <c r="Q11" s="90">
        <f>IF($B11="","",IF(Clases!M11="",0,Clases!M11))</f>
        <v>12</v>
      </c>
      <c r="R11" s="91">
        <f t="shared" si="3"/>
        <v>63.777777777777786</v>
      </c>
      <c r="S11" s="84" t="str">
        <f>IF($B11="","",IF(J11="","Apunta la asistencia",IF(K11="","Faltan las plazas de la clase",IF(K11&gt;=Configuración!$C$20,"Casi llena: abre otra sesión",IF(K11&lt;Configuración!$C$18,"Revisa horario o formato",IF(R11&lt;0,"No cubre el coste del monitor",IF(AND(ISNUMBER(O11),N(O11)&lt;=Configuración!$C$21),"Va a menos: pregunta por qué",IF(K11&lt;Configuración!$C$19,"Dale visibilidad entre tus socios","Va bien: mantenla"))))))))</f>
        <v>Casi llena: abre otra sesión</v>
      </c>
      <c r="T11">
        <f t="shared" si="4"/>
        <v>0.91666726666666665</v>
      </c>
      <c r="U11">
        <f t="shared" si="5"/>
        <v>12</v>
      </c>
      <c r="V11">
        <f t="shared" si="6"/>
        <v>11</v>
      </c>
      <c r="W11" t="str">
        <f>IF($B11="","",Clases!L11)</f>
        <v>Tarde-noche</v>
      </c>
      <c r="X11">
        <f>N(Clases!U11)</f>
        <v>5</v>
      </c>
    </row>
    <row r="12" spans="2:26" ht="18" customHeight="1" x14ac:dyDescent="0.2">
      <c r="B12" s="57">
        <f>IF(Clases!$B12="","",Clases!$B12)</f>
        <v>7</v>
      </c>
      <c r="C12" s="60" t="str">
        <f>IF($B12="","",Clases!C12)</f>
        <v>Lunes</v>
      </c>
      <c r="D12" s="59">
        <f>IF($B12="","",Clases!D12)</f>
        <v>0.83333333333333337</v>
      </c>
      <c r="E12" s="60" t="str">
        <f>IF($B12="","",Clases!E12)</f>
        <v>Halterofilia</v>
      </c>
      <c r="F12" s="60" t="str">
        <f>IF($B12="","",Clases!F12)</f>
        <v>Box</v>
      </c>
      <c r="G12" s="60" t="str">
        <f>IF($B12="","",IF(Clases!G12="","—",Clases!G12))</f>
        <v>Javi</v>
      </c>
      <c r="H12" s="32">
        <f>IF($B12="","",Clases!I12)</f>
        <v>16</v>
      </c>
      <c r="I12" s="32">
        <f>IF($B12="","",COUNT(Asistencia!H15:S15))</f>
        <v>11</v>
      </c>
      <c r="J12" s="37">
        <f>IF($B12="","",IF(I12=0,"",AVERAGE(Asistencia!H15:S15)))</f>
        <v>8.3636363636363633</v>
      </c>
      <c r="K12" s="80">
        <f t="shared" si="0"/>
        <v>0.52272727272727271</v>
      </c>
      <c r="L12" s="37">
        <f t="shared" si="1"/>
        <v>7.6363636363636367</v>
      </c>
      <c r="M12" s="37">
        <f>IF(J12="","",IFERROR(AVERAGEIFS(Asistencia!H15:S15,Asistencia!$H$5:$S$5,"&lt;=4"),""))</f>
        <v>7</v>
      </c>
      <c r="N12" s="37">
        <f>IF(OR(J12="",Asistencia!$T$4&lt;8),"",IFERROR(AVERAGEIFS(Asistencia!H15:S15,Asistencia!$H$5:$S$5,"&gt;="&amp;(Asistencia!$T$4-3),Asistencia!$H$5:$S$5,"&lt;="&amp;Asistencia!$T$4),""))</f>
        <v>9.6666666666666661</v>
      </c>
      <c r="O12" s="81">
        <f t="shared" si="2"/>
        <v>0.38095238095238093</v>
      </c>
      <c r="P12" s="61">
        <f>IF(J12="","",J12*Configuración!$C$15)</f>
        <v>57.616161616161619</v>
      </c>
      <c r="Q12" s="61">
        <f>IF($B12="","",IF(Clases!M12="",0,Clases!M12))</f>
        <v>20</v>
      </c>
      <c r="R12" s="82">
        <f t="shared" si="3"/>
        <v>37.616161616161619</v>
      </c>
      <c r="S12" s="60" t="str">
        <f>IF($B12="","",IF(J12="","Apunta la asistencia",IF(K12="","Faltan las plazas de la clase",IF(K12&gt;=Configuración!$C$20,"Casi llena: abre otra sesión",IF(K12&lt;Configuración!$C$18,"Revisa horario o formato",IF(R12&lt;0,"No cubre el coste del monitor",IF(AND(ISNUMBER(O12),N(O12)&lt;=Configuración!$C$21),"Va a menos: pregunta por qué",IF(K12&lt;Configuración!$C$19,"Dale visibilidad entre tus socios","Va bien: mantenla"))))))))</f>
        <v>Dale visibilidad entre tus socios</v>
      </c>
      <c r="T12">
        <f t="shared" si="4"/>
        <v>0.52272797272727267</v>
      </c>
      <c r="U12">
        <f t="shared" si="5"/>
        <v>16</v>
      </c>
      <c r="V12">
        <f t="shared" si="6"/>
        <v>8.3636363636363633</v>
      </c>
      <c r="W12" t="str">
        <f>IF($B12="","",Clases!L12)</f>
        <v>Tarde-noche</v>
      </c>
      <c r="X12">
        <f>N(Clases!U12)</f>
        <v>8</v>
      </c>
    </row>
    <row r="13" spans="2:26" ht="18" customHeight="1" x14ac:dyDescent="0.2">
      <c r="B13" s="83">
        <f>IF(Clases!$B13="","",Clases!$B13)</f>
        <v>8</v>
      </c>
      <c r="C13" s="84" t="str">
        <f>IF($B13="","",Clases!C13)</f>
        <v>Martes</v>
      </c>
      <c r="D13" s="85">
        <f>IF($B13="","",Clases!D13)</f>
        <v>0.29166666666666669</v>
      </c>
      <c r="E13" s="84" t="str">
        <f>IF($B13="","",Clases!E13)</f>
        <v>Cross training</v>
      </c>
      <c r="F13" s="84" t="str">
        <f>IF($B13="","",Clases!F13)</f>
        <v>Box</v>
      </c>
      <c r="G13" s="84" t="str">
        <f>IF($B13="","",IF(Clases!G13="","—",Clases!G13))</f>
        <v>Marta</v>
      </c>
      <c r="H13" s="86">
        <f>IF($B13="","",Clases!I13)</f>
        <v>16</v>
      </c>
      <c r="I13" s="86">
        <f>IF($B13="","",COUNT(Asistencia!H16:S16))</f>
        <v>12</v>
      </c>
      <c r="J13" s="87">
        <f>IF($B13="","",IF(I13=0,"",AVERAGE(Asistencia!H16:S16)))</f>
        <v>14.25</v>
      </c>
      <c r="K13" s="88">
        <f t="shared" si="0"/>
        <v>0.890625</v>
      </c>
      <c r="L13" s="87">
        <f t="shared" si="1"/>
        <v>1.75</v>
      </c>
      <c r="M13" s="87">
        <f>IF(J13="","",IFERROR(AVERAGEIFS(Asistencia!H16:S16,Asistencia!$H$5:$S$5,"&lt;=4"),""))</f>
        <v>12.75</v>
      </c>
      <c r="N13" s="87">
        <f>IF(OR(J13="",Asistencia!$T$4&lt;8),"",IFERROR(AVERAGEIFS(Asistencia!H16:S16,Asistencia!$H$5:$S$5,"&gt;="&amp;(Asistencia!$T$4-3),Asistencia!$H$5:$S$5,"&lt;="&amp;Asistencia!$T$4),""))</f>
        <v>15</v>
      </c>
      <c r="O13" s="89">
        <f t="shared" si="2"/>
        <v>0.17647058823529416</v>
      </c>
      <c r="P13" s="90">
        <f>IF(J13="","",J13*Configuración!$C$15)</f>
        <v>98.166666666666671</v>
      </c>
      <c r="Q13" s="90">
        <f>IF($B13="","",IF(Clases!M13="",0,Clases!M13))</f>
        <v>18</v>
      </c>
      <c r="R13" s="91">
        <f t="shared" si="3"/>
        <v>80.166666666666671</v>
      </c>
      <c r="S13" s="84" t="str">
        <f>IF($B13="","",IF(J13="","Apunta la asistencia",IF(K13="","Faltan las plazas de la clase",IF(K13&gt;=Configuración!$C$20,"Casi llena: abre otra sesión",IF(K13&lt;Configuración!$C$18,"Revisa horario o formato",IF(R13&lt;0,"No cubre el coste del monitor",IF(AND(ISNUMBER(O13),N(O13)&lt;=Configuración!$C$21),"Va a menos: pregunta por qué",IF(K13&lt;Configuración!$C$19,"Dale visibilidad entre tus socios","Va bien: mantenla"))))))))</f>
        <v>Va bien: mantenla</v>
      </c>
      <c r="T13">
        <f t="shared" si="4"/>
        <v>0.89062580000000002</v>
      </c>
      <c r="U13">
        <f t="shared" si="5"/>
        <v>16</v>
      </c>
      <c r="V13">
        <f t="shared" si="6"/>
        <v>14.25</v>
      </c>
      <c r="W13" t="str">
        <f>IF($B13="","",Clases!L13)</f>
        <v>Primera hora</v>
      </c>
      <c r="X13">
        <f>N(Clases!U13)</f>
        <v>1</v>
      </c>
    </row>
    <row r="14" spans="2:26" ht="18" customHeight="1" x14ac:dyDescent="0.2">
      <c r="B14" s="57">
        <f>IF(Clases!$B14="","",Clases!$B14)</f>
        <v>9</v>
      </c>
      <c r="C14" s="60" t="str">
        <f>IF($B14="","",Clases!C14)</f>
        <v>Martes</v>
      </c>
      <c r="D14" s="59">
        <f>IF($B14="","",Clases!D14)</f>
        <v>0.41666666666666669</v>
      </c>
      <c r="E14" s="60" t="str">
        <f>IF($B14="","",Clases!E14)</f>
        <v>Funcional sénior</v>
      </c>
      <c r="F14" s="60" t="str">
        <f>IF($B14="","",Clases!F14)</f>
        <v>Box</v>
      </c>
      <c r="G14" s="60" t="str">
        <f>IF($B14="","",IF(Clases!G14="","—",Clases!G14))</f>
        <v>Javi</v>
      </c>
      <c r="H14" s="32">
        <f>IF($B14="","",Clases!I14)</f>
        <v>10</v>
      </c>
      <c r="I14" s="32">
        <f>IF($B14="","",COUNT(Asistencia!H17:S17))</f>
        <v>12</v>
      </c>
      <c r="J14" s="37">
        <f>IF($B14="","",IF(I14=0,"",AVERAGE(Asistencia!H17:S17)))</f>
        <v>8.5833333333333339</v>
      </c>
      <c r="K14" s="80">
        <f t="shared" si="0"/>
        <v>0.85833333333333339</v>
      </c>
      <c r="L14" s="37">
        <f t="shared" si="1"/>
        <v>1.4166666666666661</v>
      </c>
      <c r="M14" s="37">
        <f>IF(J14="","",IFERROR(AVERAGEIFS(Asistencia!H17:S17,Asistencia!$H$5:$S$5,"&lt;=4"),""))</f>
        <v>8.5</v>
      </c>
      <c r="N14" s="37">
        <f>IF(OR(J14="",Asistencia!$T$4&lt;8),"",IFERROR(AVERAGEIFS(Asistencia!H17:S17,Asistencia!$H$5:$S$5,"&gt;="&amp;(Asistencia!$T$4-3),Asistencia!$H$5:$S$5,"&lt;="&amp;Asistencia!$T$4),""))</f>
        <v>9</v>
      </c>
      <c r="O14" s="81">
        <f t="shared" si="2"/>
        <v>5.8823529411764719E-2</v>
      </c>
      <c r="P14" s="61">
        <f>IF(J14="","",J14*Configuración!$C$15)</f>
        <v>59.12962962962964</v>
      </c>
      <c r="Q14" s="61">
        <f>IF($B14="","",IF(Clases!M14="",0,Clases!M14))</f>
        <v>16.666666666666668</v>
      </c>
      <c r="R14" s="82">
        <f t="shared" si="3"/>
        <v>42.462962962962976</v>
      </c>
      <c r="S14" s="60" t="str">
        <f>IF($B14="","",IF(J14="","Apunta la asistencia",IF(K14="","Faltan las plazas de la clase",IF(K14&gt;=Configuración!$C$20,"Casi llena: abre otra sesión",IF(K14&lt;Configuración!$C$18,"Revisa horario o formato",IF(R14&lt;0,"No cubre el coste del monitor",IF(AND(ISNUMBER(O14),N(O14)&lt;=Configuración!$C$21),"Va a menos: pregunta por qué",IF(K14&lt;Configuración!$C$19,"Dale visibilidad entre tus socios","Va bien: mantenla"))))))))</f>
        <v>Va bien: mantenla</v>
      </c>
      <c r="T14">
        <f t="shared" si="4"/>
        <v>0.85833423333333336</v>
      </c>
      <c r="U14">
        <f t="shared" si="5"/>
        <v>10</v>
      </c>
      <c r="V14">
        <f t="shared" si="6"/>
        <v>8.5833333333333339</v>
      </c>
      <c r="W14" t="str">
        <f>IF($B14="","",Clases!L14)</f>
        <v>Mañana</v>
      </c>
      <c r="X14">
        <f>N(Clases!U14)</f>
        <v>10</v>
      </c>
    </row>
    <row r="15" spans="2:26" ht="18" customHeight="1" x14ac:dyDescent="0.2">
      <c r="B15" s="83">
        <f>IF(Clases!$B15="","",Clases!$B15)</f>
        <v>10</v>
      </c>
      <c r="C15" s="84" t="str">
        <f>IF($B15="","",Clases!C15)</f>
        <v>Martes</v>
      </c>
      <c r="D15" s="85">
        <f>IF($B15="","",Clases!D15)</f>
        <v>0.42708333333333331</v>
      </c>
      <c r="E15" s="84" t="str">
        <f>IF($B15="","",Clases!E15)</f>
        <v>Movilidad</v>
      </c>
      <c r="F15" s="84" t="str">
        <f>IF($B15="","",Clases!F15)</f>
        <v>Estudio</v>
      </c>
      <c r="G15" s="84" t="str">
        <f>IF($B15="","",IF(Clases!G15="","—",Clases!G15))</f>
        <v>Lucía</v>
      </c>
      <c r="H15" s="86">
        <f>IF($B15="","",Clases!I15)</f>
        <v>12</v>
      </c>
      <c r="I15" s="86">
        <f>IF($B15="","",COUNT(Asistencia!H18:S18))</f>
        <v>12</v>
      </c>
      <c r="J15" s="87">
        <f>IF($B15="","",IF(I15=0,"",AVERAGE(Asistencia!H18:S18)))</f>
        <v>6</v>
      </c>
      <c r="K15" s="88">
        <f t="shared" si="0"/>
        <v>0.5</v>
      </c>
      <c r="L15" s="87">
        <f t="shared" si="1"/>
        <v>6</v>
      </c>
      <c r="M15" s="87">
        <f>IF(J15="","",IFERROR(AVERAGEIFS(Asistencia!H18:S18,Asistencia!$H$5:$S$5,"&lt;=4"),""))</f>
        <v>5.5</v>
      </c>
      <c r="N15" s="87">
        <f>IF(OR(J15="",Asistencia!$T$4&lt;8),"",IFERROR(AVERAGEIFS(Asistencia!H18:S18,Asistencia!$H$5:$S$5,"&gt;="&amp;(Asistencia!$T$4-3),Asistencia!$H$5:$S$5,"&lt;="&amp;Asistencia!$T$4),""))</f>
        <v>6.5</v>
      </c>
      <c r="O15" s="89">
        <f t="shared" si="2"/>
        <v>0.18181818181818188</v>
      </c>
      <c r="P15" s="90">
        <f>IF(J15="","",J15*Configuración!$C$15)</f>
        <v>41.333333333333336</v>
      </c>
      <c r="Q15" s="90">
        <f>IF($B15="","",IF(Clases!M15="",0,Clases!M15))</f>
        <v>12.75</v>
      </c>
      <c r="R15" s="91">
        <f t="shared" si="3"/>
        <v>28.583333333333336</v>
      </c>
      <c r="S15" s="84" t="str">
        <f>IF($B15="","",IF(J15="","Apunta la asistencia",IF(K15="","Faltan las plazas de la clase",IF(K15&gt;=Configuración!$C$20,"Casi llena: abre otra sesión",IF(K15&lt;Configuración!$C$18,"Revisa horario o formato",IF(R15&lt;0,"No cubre el coste del monitor",IF(AND(ISNUMBER(O15),N(O15)&lt;=Configuración!$C$21),"Va a menos: pregunta por qué",IF(K15&lt;Configuración!$C$19,"Dale visibilidad entre tus socios","Va bien: mantenla"))))))))</f>
        <v>Dale visibilidad entre tus socios</v>
      </c>
      <c r="T15">
        <f t="shared" si="4"/>
        <v>0.50000100000000003</v>
      </c>
      <c r="U15">
        <f t="shared" si="5"/>
        <v>12</v>
      </c>
      <c r="V15">
        <f t="shared" si="6"/>
        <v>6</v>
      </c>
      <c r="W15" t="str">
        <f>IF($B15="","",Clases!L15)</f>
        <v>Mañana</v>
      </c>
      <c r="X15">
        <f>N(Clases!U15)</f>
        <v>6</v>
      </c>
    </row>
    <row r="16" spans="2:26" ht="18" customHeight="1" x14ac:dyDescent="0.2">
      <c r="B16" s="57">
        <f>IF(Clases!$B16="","",Clases!$B16)</f>
        <v>11</v>
      </c>
      <c r="C16" s="60" t="str">
        <f>IF($B16="","",Clases!C16)</f>
        <v>Martes</v>
      </c>
      <c r="D16" s="59">
        <f>IF($B16="","",Clases!D16)</f>
        <v>0.59375</v>
      </c>
      <c r="E16" s="60" t="str">
        <f>IF($B16="","",Clases!E16)</f>
        <v>Core exprés</v>
      </c>
      <c r="F16" s="60" t="str">
        <f>IF($B16="","",Clases!F16)</f>
        <v>Estudio</v>
      </c>
      <c r="G16" s="60" t="str">
        <f>IF($B16="","",IF(Clases!G16="","—",Clases!G16))</f>
        <v>Dani</v>
      </c>
      <c r="H16" s="32">
        <f>IF($B16="","",Clases!I16)</f>
        <v>12</v>
      </c>
      <c r="I16" s="32">
        <f>IF($B16="","",COUNT(Asistencia!H19:S19))</f>
        <v>12</v>
      </c>
      <c r="J16" s="37">
        <f>IF($B16="","",IF(I16=0,"",AVERAGE(Asistencia!H19:S19)))</f>
        <v>3.8333333333333335</v>
      </c>
      <c r="K16" s="80">
        <f t="shared" si="0"/>
        <v>0.31944444444444448</v>
      </c>
      <c r="L16" s="37">
        <f t="shared" si="1"/>
        <v>8.1666666666666661</v>
      </c>
      <c r="M16" s="37">
        <f>IF(J16="","",IFERROR(AVERAGEIFS(Asistencia!H19:S19,Asistencia!$H$5:$S$5,"&lt;=4"),""))</f>
        <v>4.25</v>
      </c>
      <c r="N16" s="37">
        <f>IF(OR(J16="",Asistencia!$T$4&lt;8),"",IFERROR(AVERAGEIFS(Asistencia!H19:S19,Asistencia!$H$5:$S$5,"&gt;="&amp;(Asistencia!$T$4-3),Asistencia!$H$5:$S$5,"&lt;="&amp;Asistencia!$T$4),""))</f>
        <v>3</v>
      </c>
      <c r="O16" s="81">
        <f t="shared" si="2"/>
        <v>-0.29411764705882348</v>
      </c>
      <c r="P16" s="61">
        <f>IF(J16="","",J16*Configuración!$C$15)</f>
        <v>26.407407407407408</v>
      </c>
      <c r="Q16" s="61">
        <f>IF($B16="","",IF(Clases!M16="",0,Clases!M16))</f>
        <v>8</v>
      </c>
      <c r="R16" s="82">
        <f t="shared" si="3"/>
        <v>18.407407407407408</v>
      </c>
      <c r="S16" s="60" t="str">
        <f>IF($B16="","",IF(J16="","Apunta la asistencia",IF(K16="","Faltan las plazas de la clase",IF(K16&gt;=Configuración!$C$20,"Casi llena: abre otra sesión",IF(K16&lt;Configuración!$C$18,"Revisa horario o formato",IF(R16&lt;0,"No cubre el coste del monitor",IF(AND(ISNUMBER(O16),N(O16)&lt;=Configuración!$C$21),"Va a menos: pregunta por qué",IF(K16&lt;Configuración!$C$19,"Dale visibilidad entre tus socios","Va bien: mantenla"))))))))</f>
        <v>Revisa horario o formato</v>
      </c>
      <c r="T16">
        <f t="shared" si="4"/>
        <v>0.31944554444444445</v>
      </c>
      <c r="U16">
        <f t="shared" si="5"/>
        <v>12</v>
      </c>
      <c r="V16">
        <f t="shared" si="6"/>
        <v>3.8333333333333335</v>
      </c>
      <c r="W16" t="str">
        <f>IF($B16="","",Clases!L16)</f>
        <v>Mediodía</v>
      </c>
      <c r="X16">
        <f>N(Clases!U16)</f>
        <v>9</v>
      </c>
    </row>
    <row r="17" spans="2:24" ht="18" customHeight="1" x14ac:dyDescent="0.2">
      <c r="B17" s="83">
        <f>IF(Clases!$B17="","",Clases!$B17)</f>
        <v>12</v>
      </c>
      <c r="C17" s="84" t="str">
        <f>IF($B17="","",Clases!C17)</f>
        <v>Martes</v>
      </c>
      <c r="D17" s="85">
        <f>IF($B17="","",Clases!D17)</f>
        <v>0.79166666666666663</v>
      </c>
      <c r="E17" s="84" t="str">
        <f>IF($B17="","",Clases!E17)</f>
        <v>Cross training</v>
      </c>
      <c r="F17" s="84" t="str">
        <f>IF($B17="","",Clases!F17)</f>
        <v>Box</v>
      </c>
      <c r="G17" s="84" t="str">
        <f>IF($B17="","",IF(Clases!G17="","—",Clases!G17))</f>
        <v>Marta</v>
      </c>
      <c r="H17" s="86">
        <f>IF($B17="","",Clases!I17)</f>
        <v>16</v>
      </c>
      <c r="I17" s="86">
        <f>IF($B17="","",COUNT(Asistencia!H20:S20))</f>
        <v>12</v>
      </c>
      <c r="J17" s="87">
        <f>IF($B17="","",IF(I17=0,"",AVERAGE(Asistencia!H20:S20)))</f>
        <v>14.916666666666666</v>
      </c>
      <c r="K17" s="88">
        <f t="shared" si="0"/>
        <v>0.93229166666666663</v>
      </c>
      <c r="L17" s="87">
        <f t="shared" si="1"/>
        <v>1.0833333333333339</v>
      </c>
      <c r="M17" s="87">
        <f>IF(J17="","",IFERROR(AVERAGEIFS(Asistencia!H20:S20,Asistencia!$H$5:$S$5,"&lt;=4"),""))</f>
        <v>13.75</v>
      </c>
      <c r="N17" s="87">
        <f>IF(OR(J17="",Asistencia!$T$4&lt;8),"",IFERROR(AVERAGEIFS(Asistencia!H20:S20,Asistencia!$H$5:$S$5,"&gt;="&amp;(Asistencia!$T$4-3),Asistencia!$H$5:$S$5,"&lt;="&amp;Asistencia!$T$4),""))</f>
        <v>15.75</v>
      </c>
      <c r="O17" s="89">
        <f t="shared" si="2"/>
        <v>0.1454545454545455</v>
      </c>
      <c r="P17" s="90">
        <f>IF(J17="","",J17*Configuración!$C$15)</f>
        <v>102.75925925925927</v>
      </c>
      <c r="Q17" s="90">
        <f>IF($B17="","",IF(Clases!M17="",0,Clases!M17))</f>
        <v>18</v>
      </c>
      <c r="R17" s="91">
        <f t="shared" si="3"/>
        <v>84.759259259259267</v>
      </c>
      <c r="S17" s="84" t="str">
        <f>IF($B17="","",IF(J17="","Apunta la asistencia",IF(K17="","Faltan las plazas de la clase",IF(K17&gt;=Configuración!$C$20,"Casi llena: abre otra sesión",IF(K17&lt;Configuración!$C$18,"Revisa horario o formato",IF(R17&lt;0,"No cubre el coste del monitor",IF(AND(ISNUMBER(O17),N(O17)&lt;=Configuración!$C$21),"Va a menos: pregunta por qué",IF(K17&lt;Configuración!$C$19,"Dale visibilidad entre tus socios","Va bien: mantenla"))))))))</f>
        <v>Casi llena: abre otra sesión</v>
      </c>
      <c r="T17">
        <f t="shared" si="4"/>
        <v>0.93229286666666666</v>
      </c>
      <c r="U17">
        <f t="shared" si="5"/>
        <v>16</v>
      </c>
      <c r="V17">
        <f t="shared" si="6"/>
        <v>14.916666666666666</v>
      </c>
      <c r="W17" t="str">
        <f>IF($B17="","",Clases!L17)</f>
        <v>Tarde-noche</v>
      </c>
      <c r="X17">
        <f>N(Clases!U17)</f>
        <v>1</v>
      </c>
    </row>
    <row r="18" spans="2:24" ht="18" customHeight="1" x14ac:dyDescent="0.2">
      <c r="B18" s="57">
        <f>IF(Clases!$B18="","",Clases!$B18)</f>
        <v>13</v>
      </c>
      <c r="C18" s="60" t="str">
        <f>IF($B18="","",Clases!C18)</f>
        <v>Martes</v>
      </c>
      <c r="D18" s="59">
        <f>IF($B18="","",Clases!D18)</f>
        <v>0.79166666666666663</v>
      </c>
      <c r="E18" s="60" t="str">
        <f>IF($B18="","",Clases!E18)</f>
        <v>Pilates</v>
      </c>
      <c r="F18" s="60" t="str">
        <f>IF($B18="","",Clases!F18)</f>
        <v>Estudio</v>
      </c>
      <c r="G18" s="60" t="str">
        <f>IF($B18="","",IF(Clases!G18="","—",Clases!G18))</f>
        <v>Sara</v>
      </c>
      <c r="H18" s="32">
        <f>IF($B18="","",Clases!I18)</f>
        <v>12</v>
      </c>
      <c r="I18" s="32">
        <f>IF($B18="","",COUNT(Asistencia!H21:S21))</f>
        <v>12</v>
      </c>
      <c r="J18" s="37">
        <f>IF($B18="","",IF(I18=0,"",AVERAGE(Asistencia!H21:S21)))</f>
        <v>10.333333333333334</v>
      </c>
      <c r="K18" s="80">
        <f t="shared" si="0"/>
        <v>0.86111111111111116</v>
      </c>
      <c r="L18" s="37">
        <f t="shared" si="1"/>
        <v>1.6666666666666661</v>
      </c>
      <c r="M18" s="37">
        <f>IF(J18="","",IFERROR(AVERAGEIFS(Asistencia!H21:S21,Asistencia!$H$5:$S$5,"&lt;=4"),""))</f>
        <v>8.5</v>
      </c>
      <c r="N18" s="37">
        <f>IF(OR(J18="",Asistencia!$T$4&lt;8),"",IFERROR(AVERAGEIFS(Asistencia!H21:S21,Asistencia!$H$5:$S$5,"&gt;="&amp;(Asistencia!$T$4-3),Asistencia!$H$5:$S$5,"&lt;="&amp;Asistencia!$T$4),""))</f>
        <v>10.75</v>
      </c>
      <c r="O18" s="81">
        <f t="shared" si="2"/>
        <v>0.26470588235294112</v>
      </c>
      <c r="P18" s="61">
        <f>IF(J18="","",J18*Configuración!$C$15)</f>
        <v>71.18518518518519</v>
      </c>
      <c r="Q18" s="61">
        <f>IF($B18="","",IF(Clases!M18="",0,Clases!M18))</f>
        <v>20.166666666666668</v>
      </c>
      <c r="R18" s="82">
        <f t="shared" si="3"/>
        <v>51.018518518518519</v>
      </c>
      <c r="S18" s="60" t="str">
        <f>IF($B18="","",IF(J18="","Apunta la asistencia",IF(K18="","Faltan las plazas de la clase",IF(K18&gt;=Configuración!$C$20,"Casi llena: abre otra sesión",IF(K18&lt;Configuración!$C$18,"Revisa horario o formato",IF(R18&lt;0,"No cubre el coste del monitor",IF(AND(ISNUMBER(O18),N(O18)&lt;=Configuración!$C$21),"Va a menos: pregunta por qué",IF(K18&lt;Configuración!$C$19,"Dale visibilidad entre tus socios","Va bien: mantenla"))))))))</f>
        <v>Va bien: mantenla</v>
      </c>
      <c r="T18">
        <f t="shared" si="4"/>
        <v>0.86111241111111114</v>
      </c>
      <c r="U18">
        <f t="shared" si="5"/>
        <v>12</v>
      </c>
      <c r="V18">
        <f t="shared" si="6"/>
        <v>10.333333333333334</v>
      </c>
      <c r="W18" t="str">
        <f>IF($B18="","",Clases!L18)</f>
        <v>Tarde-noche</v>
      </c>
      <c r="X18">
        <f>N(Clases!U18)</f>
        <v>3</v>
      </c>
    </row>
    <row r="19" spans="2:24" ht="18" customHeight="1" x14ac:dyDescent="0.2">
      <c r="B19" s="83">
        <f>IF(Clases!$B19="","",Clases!$B19)</f>
        <v>14</v>
      </c>
      <c r="C19" s="84" t="str">
        <f>IF($B19="","",Clases!C19)</f>
        <v>Martes</v>
      </c>
      <c r="D19" s="85">
        <f>IF($B19="","",Clases!D19)</f>
        <v>0.83333333333333337</v>
      </c>
      <c r="E19" s="84" t="str">
        <f>IF($B19="","",Clases!E19)</f>
        <v>Yoga</v>
      </c>
      <c r="F19" s="84" t="str">
        <f>IF($B19="","",Clases!F19)</f>
        <v>Estudio</v>
      </c>
      <c r="G19" s="84" t="str">
        <f>IF($B19="","",IF(Clases!G19="","—",Clases!G19))</f>
        <v>Lucía</v>
      </c>
      <c r="H19" s="86">
        <f>IF($B19="","",Clases!I19)</f>
        <v>12</v>
      </c>
      <c r="I19" s="86">
        <f>IF($B19="","",COUNT(Asistencia!H22:S22))</f>
        <v>12</v>
      </c>
      <c r="J19" s="87">
        <f>IF($B19="","",IF(I19=0,"",AVERAGE(Asistencia!H22:S22)))</f>
        <v>7.916666666666667</v>
      </c>
      <c r="K19" s="88">
        <f t="shared" si="0"/>
        <v>0.65972222222222221</v>
      </c>
      <c r="L19" s="87">
        <f t="shared" si="1"/>
        <v>4.083333333333333</v>
      </c>
      <c r="M19" s="87">
        <f>IF(J19="","",IFERROR(AVERAGEIFS(Asistencia!H22:S22,Asistencia!$H$5:$S$5,"&lt;=4"),""))</f>
        <v>6.75</v>
      </c>
      <c r="N19" s="87">
        <f>IF(OR(J19="",Asistencia!$T$4&lt;8),"",IFERROR(AVERAGEIFS(Asistencia!H22:S22,Asistencia!$H$5:$S$5,"&gt;="&amp;(Asistencia!$T$4-3),Asistencia!$H$5:$S$5,"&lt;="&amp;Asistencia!$T$4),""))</f>
        <v>8.75</v>
      </c>
      <c r="O19" s="89">
        <f t="shared" si="2"/>
        <v>0.29629629629629628</v>
      </c>
      <c r="P19" s="90">
        <f>IF(J19="","",J19*Configuración!$C$15)</f>
        <v>54.537037037037045</v>
      </c>
      <c r="Q19" s="90">
        <f>IF($B19="","",IF(Clases!M19="",0,Clases!M19))</f>
        <v>17</v>
      </c>
      <c r="R19" s="91">
        <f t="shared" si="3"/>
        <v>37.537037037037045</v>
      </c>
      <c r="S19" s="84" t="str">
        <f>IF($B19="","",IF(J19="","Apunta la asistencia",IF(K19="","Faltan las plazas de la clase",IF(K19&gt;=Configuración!$C$20,"Casi llena: abre otra sesión",IF(K19&lt;Configuración!$C$18,"Revisa horario o formato",IF(R19&lt;0,"No cubre el coste del monitor",IF(AND(ISNUMBER(O19),N(O19)&lt;=Configuración!$C$21),"Va a menos: pregunta por qué",IF(K19&lt;Configuración!$C$19,"Dale visibilidad entre tus socios","Va bien: mantenla"))))))))</f>
        <v>Va bien: mantenla</v>
      </c>
      <c r="T19">
        <f t="shared" si="4"/>
        <v>0.65972362222222225</v>
      </c>
      <c r="U19">
        <f t="shared" si="5"/>
        <v>12</v>
      </c>
      <c r="V19">
        <f t="shared" si="6"/>
        <v>7.916666666666667</v>
      </c>
      <c r="W19" t="str">
        <f>IF($B19="","",Clases!L19)</f>
        <v>Tarde-noche</v>
      </c>
      <c r="X19">
        <f>N(Clases!U19)</f>
        <v>4</v>
      </c>
    </row>
    <row r="20" spans="2:24" ht="18" customHeight="1" x14ac:dyDescent="0.2">
      <c r="B20" s="57">
        <f>IF(Clases!$B20="","",Clases!$B20)</f>
        <v>15</v>
      </c>
      <c r="C20" s="60" t="str">
        <f>IF($B20="","",Clases!C20)</f>
        <v>Martes</v>
      </c>
      <c r="D20" s="59">
        <f>IF($B20="","",Clases!D20)</f>
        <v>0.875</v>
      </c>
      <c r="E20" s="60" t="str">
        <f>IF($B20="","",Clases!E20)</f>
        <v>Cross training</v>
      </c>
      <c r="F20" s="60" t="str">
        <f>IF($B20="","",Clases!F20)</f>
        <v>Box</v>
      </c>
      <c r="G20" s="60" t="str">
        <f>IF($B20="","",IF(Clases!G20="","—",Clases!G20))</f>
        <v>Dani</v>
      </c>
      <c r="H20" s="32">
        <f>IF($B20="","",Clases!I20)</f>
        <v>16</v>
      </c>
      <c r="I20" s="32">
        <f>IF($B20="","",COUNT(Asistencia!H23:S23))</f>
        <v>12</v>
      </c>
      <c r="J20" s="37">
        <f>IF($B20="","",IF(I20=0,"",AVERAGE(Asistencia!H23:S23)))</f>
        <v>10</v>
      </c>
      <c r="K20" s="80">
        <f t="shared" si="0"/>
        <v>0.625</v>
      </c>
      <c r="L20" s="37">
        <f t="shared" si="1"/>
        <v>6</v>
      </c>
      <c r="M20" s="37">
        <f>IF(J20="","",IFERROR(AVERAGEIFS(Asistencia!H23:S23,Asistencia!$H$5:$S$5,"&lt;=4"),""))</f>
        <v>11.5</v>
      </c>
      <c r="N20" s="37">
        <f>IF(OR(J20="",Asistencia!$T$4&lt;8),"",IFERROR(AVERAGEIFS(Asistencia!H23:S23,Asistencia!$H$5:$S$5,"&gt;="&amp;(Asistencia!$T$4-3),Asistencia!$H$5:$S$5,"&lt;="&amp;Asistencia!$T$4),""))</f>
        <v>8.75</v>
      </c>
      <c r="O20" s="81">
        <f t="shared" si="2"/>
        <v>-0.23913043478260865</v>
      </c>
      <c r="P20" s="61">
        <f>IF(J20="","",J20*Configuración!$C$15)</f>
        <v>68.888888888888886</v>
      </c>
      <c r="Q20" s="61">
        <f>IF($B20="","",IF(Clases!M20="",0,Clases!M20))</f>
        <v>16</v>
      </c>
      <c r="R20" s="82">
        <f t="shared" si="3"/>
        <v>52.888888888888886</v>
      </c>
      <c r="S20" s="60" t="str">
        <f>IF($B20="","",IF(J20="","Apunta la asistencia",IF(K20="","Faltan las plazas de la clase",IF(K20&gt;=Configuración!$C$20,"Casi llena: abre otra sesión",IF(K20&lt;Configuración!$C$18,"Revisa horario o formato",IF(R20&lt;0,"No cubre el coste del monitor",IF(AND(ISNUMBER(O20),N(O20)&lt;=Configuración!$C$21),"Va a menos: pregunta por qué",IF(K20&lt;Configuración!$C$19,"Dale visibilidad entre tus socios","Va bien: mantenla"))))))))</f>
        <v>Va a menos: pregunta por qué</v>
      </c>
      <c r="T20">
        <f t="shared" si="4"/>
        <v>0.62500149999999999</v>
      </c>
      <c r="U20">
        <f t="shared" si="5"/>
        <v>16</v>
      </c>
      <c r="V20">
        <f t="shared" si="6"/>
        <v>10</v>
      </c>
      <c r="W20" t="str">
        <f>IF($B20="","",Clases!L20)</f>
        <v>Noche</v>
      </c>
      <c r="X20">
        <f>N(Clases!U20)</f>
        <v>1</v>
      </c>
    </row>
    <row r="21" spans="2:24" ht="18" customHeight="1" x14ac:dyDescent="0.2">
      <c r="B21" s="83">
        <f>IF(Clases!$B21="","",Clases!$B21)</f>
        <v>16</v>
      </c>
      <c r="C21" s="84" t="str">
        <f>IF($B21="","",Clases!C21)</f>
        <v>Miércoles</v>
      </c>
      <c r="D21" s="85">
        <f>IF($B21="","",Clases!D21)</f>
        <v>0.29166666666666669</v>
      </c>
      <c r="E21" s="84" t="str">
        <f>IF($B21="","",Clases!E21)</f>
        <v>Cross training</v>
      </c>
      <c r="F21" s="84" t="str">
        <f>IF($B21="","",Clases!F21)</f>
        <v>Box</v>
      </c>
      <c r="G21" s="84" t="str">
        <f>IF($B21="","",IF(Clases!G21="","—",Clases!G21))</f>
        <v>Marta</v>
      </c>
      <c r="H21" s="86">
        <f>IF($B21="","",Clases!I21)</f>
        <v>16</v>
      </c>
      <c r="I21" s="86">
        <f>IF($B21="","",COUNT(Asistencia!H24:S24))</f>
        <v>12</v>
      </c>
      <c r="J21" s="87">
        <f>IF($B21="","",IF(I21=0,"",AVERAGE(Asistencia!H24:S24)))</f>
        <v>15</v>
      </c>
      <c r="K21" s="88">
        <f t="shared" si="0"/>
        <v>0.9375</v>
      </c>
      <c r="L21" s="87">
        <f t="shared" si="1"/>
        <v>1</v>
      </c>
      <c r="M21" s="87">
        <f>IF(J21="","",IFERROR(AVERAGEIFS(Asistencia!H24:S24,Asistencia!$H$5:$S$5,"&lt;=4"),""))</f>
        <v>13.5</v>
      </c>
      <c r="N21" s="87">
        <f>IF(OR(J21="",Asistencia!$T$4&lt;8),"",IFERROR(AVERAGEIFS(Asistencia!H24:S24,Asistencia!$H$5:$S$5,"&gt;="&amp;(Asistencia!$T$4-3),Asistencia!$H$5:$S$5,"&lt;="&amp;Asistencia!$T$4),""))</f>
        <v>16</v>
      </c>
      <c r="O21" s="89">
        <f t="shared" si="2"/>
        <v>0.18518518518518512</v>
      </c>
      <c r="P21" s="90">
        <f>IF(J21="","",J21*Configuración!$C$15)</f>
        <v>103.33333333333334</v>
      </c>
      <c r="Q21" s="90">
        <f>IF($B21="","",IF(Clases!M21="",0,Clases!M21))</f>
        <v>18</v>
      </c>
      <c r="R21" s="91">
        <f t="shared" si="3"/>
        <v>85.333333333333343</v>
      </c>
      <c r="S21" s="84" t="str">
        <f>IF($B21="","",IF(J21="","Apunta la asistencia",IF(K21="","Faltan las plazas de la clase",IF(K21&gt;=Configuración!$C$20,"Casi llena: abre otra sesión",IF(K21&lt;Configuración!$C$18,"Revisa horario o formato",IF(R21&lt;0,"No cubre el coste del monitor",IF(AND(ISNUMBER(O21),N(O21)&lt;=Configuración!$C$21),"Va a menos: pregunta por qué",IF(K21&lt;Configuración!$C$19,"Dale visibilidad entre tus socios","Va bien: mantenla"))))))))</f>
        <v>Casi llena: abre otra sesión</v>
      </c>
      <c r="T21">
        <f t="shared" si="4"/>
        <v>0.93750160000000005</v>
      </c>
      <c r="U21">
        <f t="shared" si="5"/>
        <v>16</v>
      </c>
      <c r="V21">
        <f t="shared" si="6"/>
        <v>15</v>
      </c>
      <c r="W21" t="str">
        <f>IF($B21="","",Clases!L21)</f>
        <v>Primera hora</v>
      </c>
      <c r="X21">
        <f>N(Clases!U21)</f>
        <v>1</v>
      </c>
    </row>
    <row r="22" spans="2:24" ht="18" customHeight="1" x14ac:dyDescent="0.2">
      <c r="B22" s="57">
        <f>IF(Clases!$B22="","",Clases!$B22)</f>
        <v>17</v>
      </c>
      <c r="C22" s="60" t="str">
        <f>IF($B22="","",Clases!C22)</f>
        <v>Miércoles</v>
      </c>
      <c r="D22" s="59">
        <f>IF($B22="","",Clases!D22)</f>
        <v>0.375</v>
      </c>
      <c r="E22" s="60" t="str">
        <f>IF($B22="","",Clases!E22)</f>
        <v>Pilates</v>
      </c>
      <c r="F22" s="60" t="str">
        <f>IF($B22="","",Clases!F22)</f>
        <v>Estudio</v>
      </c>
      <c r="G22" s="60" t="str">
        <f>IF($B22="","",IF(Clases!G22="","—",Clases!G22))</f>
        <v>Sara</v>
      </c>
      <c r="H22" s="32">
        <f>IF($B22="","",Clases!I22)</f>
        <v>12</v>
      </c>
      <c r="I22" s="32">
        <f>IF($B22="","",COUNT(Asistencia!H25:S25))</f>
        <v>12</v>
      </c>
      <c r="J22" s="37">
        <f>IF($B22="","",IF(I22=0,"",AVERAGE(Asistencia!H25:S25)))</f>
        <v>9.25</v>
      </c>
      <c r="K22" s="80">
        <f t="shared" si="0"/>
        <v>0.77083333333333337</v>
      </c>
      <c r="L22" s="37">
        <f t="shared" si="1"/>
        <v>2.75</v>
      </c>
      <c r="M22" s="37">
        <f>IF(J22="","",IFERROR(AVERAGEIFS(Asistencia!H25:S25,Asistencia!$H$5:$S$5,"&lt;=4"),""))</f>
        <v>8.25</v>
      </c>
      <c r="N22" s="37">
        <f>IF(OR(J22="",Asistencia!$T$4&lt;8),"",IFERROR(AVERAGEIFS(Asistencia!H25:S25,Asistencia!$H$5:$S$5,"&gt;="&amp;(Asistencia!$T$4-3),Asistencia!$H$5:$S$5,"&lt;="&amp;Asistencia!$T$4),""))</f>
        <v>9.75</v>
      </c>
      <c r="O22" s="81">
        <f t="shared" si="2"/>
        <v>0.18181818181818188</v>
      </c>
      <c r="P22" s="61">
        <f>IF(J22="","",J22*Configuración!$C$15)</f>
        <v>63.722222222222229</v>
      </c>
      <c r="Q22" s="61">
        <f>IF($B22="","",IF(Clases!M22="",0,Clases!M22))</f>
        <v>20.166666666666668</v>
      </c>
      <c r="R22" s="82">
        <f t="shared" si="3"/>
        <v>43.555555555555557</v>
      </c>
      <c r="S22" s="60" t="str">
        <f>IF($B22="","",IF(J22="","Apunta la asistencia",IF(K22="","Faltan las plazas de la clase",IF(K22&gt;=Configuración!$C$20,"Casi llena: abre otra sesión",IF(K22&lt;Configuración!$C$18,"Revisa horario o formato",IF(R22&lt;0,"No cubre el coste del monitor",IF(AND(ISNUMBER(O22),N(O22)&lt;=Configuración!$C$21),"Va a menos: pregunta por qué",IF(K22&lt;Configuración!$C$19,"Dale visibilidad entre tus socios","Va bien: mantenla"))))))))</f>
        <v>Va bien: mantenla</v>
      </c>
      <c r="T22">
        <f t="shared" si="4"/>
        <v>0.77083503333333336</v>
      </c>
      <c r="U22">
        <f t="shared" si="5"/>
        <v>12</v>
      </c>
      <c r="V22">
        <f t="shared" si="6"/>
        <v>9.25</v>
      </c>
      <c r="W22" t="str">
        <f>IF($B22="","",Clases!L22)</f>
        <v>Mañana</v>
      </c>
      <c r="X22">
        <f>N(Clases!U22)</f>
        <v>3</v>
      </c>
    </row>
    <row r="23" spans="2:24" ht="18" customHeight="1" x14ac:dyDescent="0.2">
      <c r="B23" s="83">
        <f>IF(Clases!$B23="","",Clases!$B23)</f>
        <v>18</v>
      </c>
      <c r="C23" s="84" t="str">
        <f>IF($B23="","",Clases!C23)</f>
        <v>Miércoles</v>
      </c>
      <c r="D23" s="85">
        <f>IF($B23="","",Clases!D23)</f>
        <v>0.58333333333333337</v>
      </c>
      <c r="E23" s="84" t="str">
        <f>IF($B23="","",Clases!E23)</f>
        <v>HIIT</v>
      </c>
      <c r="F23" s="84" t="str">
        <f>IF($B23="","",Clases!F23)</f>
        <v>Box</v>
      </c>
      <c r="G23" s="84" t="str">
        <f>IF($B23="","",IF(Clases!G23="","—",Clases!G23))</f>
        <v>Dani</v>
      </c>
      <c r="H23" s="86">
        <f>IF($B23="","",Clases!I23)</f>
        <v>16</v>
      </c>
      <c r="I23" s="86">
        <f>IF($B23="","",COUNT(Asistencia!H26:S26))</f>
        <v>12</v>
      </c>
      <c r="J23" s="87">
        <f>IF($B23="","",IF(I23=0,"",AVERAGE(Asistencia!H26:S26)))</f>
        <v>5</v>
      </c>
      <c r="K23" s="88">
        <f t="shared" si="0"/>
        <v>0.3125</v>
      </c>
      <c r="L23" s="87">
        <f t="shared" si="1"/>
        <v>11</v>
      </c>
      <c r="M23" s="87">
        <f>IF(J23="","",IFERROR(AVERAGEIFS(Asistencia!H26:S26,Asistencia!$H$5:$S$5,"&lt;=4"),""))</f>
        <v>5</v>
      </c>
      <c r="N23" s="87">
        <f>IF(OR(J23="",Asistencia!$T$4&lt;8),"",IFERROR(AVERAGEIFS(Asistencia!H26:S26,Asistencia!$H$5:$S$5,"&gt;="&amp;(Asistencia!$T$4-3),Asistencia!$H$5:$S$5,"&lt;="&amp;Asistencia!$T$4),""))</f>
        <v>4.75</v>
      </c>
      <c r="O23" s="89">
        <f t="shared" si="2"/>
        <v>-5.0000000000000044E-2</v>
      </c>
      <c r="P23" s="90">
        <f>IF(J23="","",J23*Configuración!$C$15)</f>
        <v>34.444444444444443</v>
      </c>
      <c r="Q23" s="90">
        <f>IF($B23="","",IF(Clases!M23="",0,Clases!M23))</f>
        <v>12</v>
      </c>
      <c r="R23" s="91">
        <f t="shared" si="3"/>
        <v>22.444444444444443</v>
      </c>
      <c r="S23" s="84" t="str">
        <f>IF($B23="","",IF(J23="","Apunta la asistencia",IF(K23="","Faltan las plazas de la clase",IF(K23&gt;=Configuración!$C$20,"Casi llena: abre otra sesión",IF(K23&lt;Configuración!$C$18,"Revisa horario o formato",IF(R23&lt;0,"No cubre el coste del monitor",IF(AND(ISNUMBER(O23),N(O23)&lt;=Configuración!$C$21),"Va a menos: pregunta por qué",IF(K23&lt;Configuración!$C$19,"Dale visibilidad entre tus socios","Va bien: mantenla"))))))))</f>
        <v>Revisa horario o formato</v>
      </c>
      <c r="T23">
        <f t="shared" si="4"/>
        <v>0.3125018</v>
      </c>
      <c r="U23">
        <f t="shared" si="5"/>
        <v>16</v>
      </c>
      <c r="V23">
        <f t="shared" si="6"/>
        <v>5</v>
      </c>
      <c r="W23" t="str">
        <f>IF($B23="","",Clases!L23)</f>
        <v>Mediodía</v>
      </c>
      <c r="X23">
        <f>N(Clases!U23)</f>
        <v>2</v>
      </c>
    </row>
    <row r="24" spans="2:24" ht="18" customHeight="1" x14ac:dyDescent="0.2">
      <c r="B24" s="57">
        <f>IF(Clases!$B24="","",Clases!$B24)</f>
        <v>19</v>
      </c>
      <c r="C24" s="60" t="str">
        <f>IF($B24="","",Clases!C24)</f>
        <v>Miércoles</v>
      </c>
      <c r="D24" s="59">
        <f>IF($B24="","",Clases!D24)</f>
        <v>0.75</v>
      </c>
      <c r="E24" s="60" t="str">
        <f>IF($B24="","",Clases!E24)</f>
        <v>Pilates</v>
      </c>
      <c r="F24" s="60" t="str">
        <f>IF($B24="","",Clases!F24)</f>
        <v>Estudio</v>
      </c>
      <c r="G24" s="60" t="str">
        <f>IF($B24="","",IF(Clases!G24="","—",Clases!G24))</f>
        <v>Sara</v>
      </c>
      <c r="H24" s="32">
        <f>IF($B24="","",Clases!I24)</f>
        <v>12</v>
      </c>
      <c r="I24" s="32">
        <f>IF($B24="","",COUNT(Asistencia!H27:S27))</f>
        <v>12</v>
      </c>
      <c r="J24" s="37">
        <f>IF($B24="","",IF(I24=0,"",AVERAGE(Asistencia!H27:S27)))</f>
        <v>8.25</v>
      </c>
      <c r="K24" s="80">
        <f t="shared" si="0"/>
        <v>0.6875</v>
      </c>
      <c r="L24" s="37">
        <f t="shared" si="1"/>
        <v>3.75</v>
      </c>
      <c r="M24" s="37">
        <f>IF(J24="","",IFERROR(AVERAGEIFS(Asistencia!H27:S27,Asistencia!$H$5:$S$5,"&lt;=4"),""))</f>
        <v>7.25</v>
      </c>
      <c r="N24" s="37">
        <f>IF(OR(J24="",Asistencia!$T$4&lt;8),"",IFERROR(AVERAGEIFS(Asistencia!H27:S27,Asistencia!$H$5:$S$5,"&gt;="&amp;(Asistencia!$T$4-3),Asistencia!$H$5:$S$5,"&lt;="&amp;Asistencia!$T$4),""))</f>
        <v>8.75</v>
      </c>
      <c r="O24" s="81">
        <f t="shared" si="2"/>
        <v>0.2068965517241379</v>
      </c>
      <c r="P24" s="61">
        <f>IF(J24="","",J24*Configuración!$C$15)</f>
        <v>56.833333333333336</v>
      </c>
      <c r="Q24" s="61">
        <f>IF($B24="","",IF(Clases!M24="",0,Clases!M24))</f>
        <v>20.166666666666668</v>
      </c>
      <c r="R24" s="82">
        <f t="shared" si="3"/>
        <v>36.666666666666671</v>
      </c>
      <c r="S24" s="60" t="str">
        <f>IF($B24="","",IF(J24="","Apunta la asistencia",IF(K24="","Faltan las plazas de la clase",IF(K24&gt;=Configuración!$C$20,"Casi llena: abre otra sesión",IF(K24&lt;Configuración!$C$18,"Revisa horario o formato",IF(R24&lt;0,"No cubre el coste del monitor",IF(AND(ISNUMBER(O24),N(O24)&lt;=Configuración!$C$21),"Va a menos: pregunta por qué",IF(K24&lt;Configuración!$C$19,"Dale visibilidad entre tus socios","Va bien: mantenla"))))))))</f>
        <v>Va bien: mantenla</v>
      </c>
      <c r="T24">
        <f t="shared" si="4"/>
        <v>0.6875019</v>
      </c>
      <c r="U24">
        <f t="shared" si="5"/>
        <v>12</v>
      </c>
      <c r="V24">
        <f t="shared" si="6"/>
        <v>8.25</v>
      </c>
      <c r="W24" t="str">
        <f>IF($B24="","",Clases!L24)</f>
        <v>Tarde</v>
      </c>
      <c r="X24">
        <f>N(Clases!U24)</f>
        <v>3</v>
      </c>
    </row>
    <row r="25" spans="2:24" ht="18" customHeight="1" x14ac:dyDescent="0.2">
      <c r="B25" s="83">
        <f>IF(Clases!$B25="","",Clases!$B25)</f>
        <v>20</v>
      </c>
      <c r="C25" s="84" t="str">
        <f>IF($B25="","",Clases!C25)</f>
        <v>Miércoles</v>
      </c>
      <c r="D25" s="85">
        <f>IF($B25="","",Clases!D25)</f>
        <v>0.79166666666666663</v>
      </c>
      <c r="E25" s="84" t="str">
        <f>IF($B25="","",Clases!E25)</f>
        <v>Cross training</v>
      </c>
      <c r="F25" s="84" t="str">
        <f>IF($B25="","",Clases!F25)</f>
        <v>Box</v>
      </c>
      <c r="G25" s="84" t="str">
        <f>IF($B25="","",IF(Clases!G25="","—",Clases!G25))</f>
        <v>Javi</v>
      </c>
      <c r="H25" s="86">
        <f>IF($B25="","",Clases!I25)</f>
        <v>16</v>
      </c>
      <c r="I25" s="86">
        <f>IF($B25="","",COUNT(Asistencia!H28:S28))</f>
        <v>12</v>
      </c>
      <c r="J25" s="87">
        <f>IF($B25="","",IF(I25=0,"",AVERAGE(Asistencia!H28:S28)))</f>
        <v>15.416666666666666</v>
      </c>
      <c r="K25" s="88">
        <f t="shared" si="0"/>
        <v>0.96354166666666663</v>
      </c>
      <c r="L25" s="87">
        <f t="shared" si="1"/>
        <v>0.58333333333333393</v>
      </c>
      <c r="M25" s="87">
        <f>IF(J25="","",IFERROR(AVERAGEIFS(Asistencia!H28:S28,Asistencia!$H$5:$S$5,"&lt;=4"),""))</f>
        <v>14.25</v>
      </c>
      <c r="N25" s="87">
        <f>IF(OR(J25="",Asistencia!$T$4&lt;8),"",IFERROR(AVERAGEIFS(Asistencia!H28:S28,Asistencia!$H$5:$S$5,"&gt;="&amp;(Asistencia!$T$4-3),Asistencia!$H$5:$S$5,"&lt;="&amp;Asistencia!$T$4),""))</f>
        <v>16</v>
      </c>
      <c r="O25" s="89">
        <f t="shared" si="2"/>
        <v>0.12280701754385959</v>
      </c>
      <c r="P25" s="90">
        <f>IF(J25="","",J25*Configuración!$C$15)</f>
        <v>106.20370370370371</v>
      </c>
      <c r="Q25" s="90">
        <f>IF($B25="","",IF(Clases!M25="",0,Clases!M25))</f>
        <v>20</v>
      </c>
      <c r="R25" s="91">
        <f t="shared" si="3"/>
        <v>86.203703703703709</v>
      </c>
      <c r="S25" s="84" t="str">
        <f>IF($B25="","",IF(J25="","Apunta la asistencia",IF(K25="","Faltan las plazas de la clase",IF(K25&gt;=Configuración!$C$20,"Casi llena: abre otra sesión",IF(K25&lt;Configuración!$C$18,"Revisa horario o formato",IF(R25&lt;0,"No cubre el coste del monitor",IF(AND(ISNUMBER(O25),N(O25)&lt;=Configuración!$C$21),"Va a menos: pregunta por qué",IF(K25&lt;Configuración!$C$19,"Dale visibilidad entre tus socios","Va bien: mantenla"))))))))</f>
        <v>Casi llena: abre otra sesión</v>
      </c>
      <c r="T25">
        <f t="shared" si="4"/>
        <v>0.96354366666666658</v>
      </c>
      <c r="U25">
        <f t="shared" si="5"/>
        <v>16</v>
      </c>
      <c r="V25">
        <f t="shared" si="6"/>
        <v>15.416666666666666</v>
      </c>
      <c r="W25" t="str">
        <f>IF($B25="","",Clases!L25)</f>
        <v>Tarde-noche</v>
      </c>
      <c r="X25">
        <f>N(Clases!U25)</f>
        <v>1</v>
      </c>
    </row>
    <row r="26" spans="2:24" ht="18" customHeight="1" x14ac:dyDescent="0.2">
      <c r="B26" s="57">
        <f>IF(Clases!$B26="","",Clases!$B26)</f>
        <v>21</v>
      </c>
      <c r="C26" s="60" t="str">
        <f>IF($B26="","",Clases!C26)</f>
        <v>Miércoles</v>
      </c>
      <c r="D26" s="59">
        <f>IF($B26="","",Clases!D26)</f>
        <v>0.79166666666666663</v>
      </c>
      <c r="E26" s="60" t="str">
        <f>IF($B26="","",Clases!E26)</f>
        <v>Ciclo indoor</v>
      </c>
      <c r="F26" s="60" t="str">
        <f>IF($B26="","",Clases!F26)</f>
        <v>Estudio</v>
      </c>
      <c r="G26" s="60" t="str">
        <f>IF($B26="","",IF(Clases!G26="","—",Clases!G26))</f>
        <v>Dani</v>
      </c>
      <c r="H26" s="32">
        <f>IF($B26="","",Clases!I26)</f>
        <v>12</v>
      </c>
      <c r="I26" s="32">
        <f>IF($B26="","",COUNT(Asistencia!H29:S29))</f>
        <v>12</v>
      </c>
      <c r="J26" s="37">
        <f>IF($B26="","",IF(I26=0,"",AVERAGE(Asistencia!H29:S29)))</f>
        <v>10.583333333333334</v>
      </c>
      <c r="K26" s="80">
        <f t="shared" si="0"/>
        <v>0.88194444444444453</v>
      </c>
      <c r="L26" s="37">
        <f t="shared" si="1"/>
        <v>1.4166666666666661</v>
      </c>
      <c r="M26" s="37">
        <f>IF(J26="","",IFERROR(AVERAGEIFS(Asistencia!H29:S29,Asistencia!$H$5:$S$5,"&lt;=4"),""))</f>
        <v>10</v>
      </c>
      <c r="N26" s="37">
        <f>IF(OR(J26="",Asistencia!$T$4&lt;8),"",IFERROR(AVERAGEIFS(Asistencia!H29:S29,Asistencia!$H$5:$S$5,"&gt;="&amp;(Asistencia!$T$4-3),Asistencia!$H$5:$S$5,"&lt;="&amp;Asistencia!$T$4),""))</f>
        <v>11.25</v>
      </c>
      <c r="O26" s="81">
        <f t="shared" si="2"/>
        <v>0.125</v>
      </c>
      <c r="P26" s="61">
        <f>IF(J26="","",J26*Configuración!$C$15)</f>
        <v>72.907407407407419</v>
      </c>
      <c r="Q26" s="61">
        <f>IF($B26="","",IF(Clases!M26="",0,Clases!M26))</f>
        <v>12</v>
      </c>
      <c r="R26" s="82">
        <f t="shared" si="3"/>
        <v>60.907407407407419</v>
      </c>
      <c r="S26" s="60" t="str">
        <f>IF($B26="","",IF(J26="","Apunta la asistencia",IF(K26="","Faltan las plazas de la clase",IF(K26&gt;=Configuración!$C$20,"Casi llena: abre otra sesión",IF(K26&lt;Configuración!$C$18,"Revisa horario o formato",IF(R26&lt;0,"No cubre el coste del monitor",IF(AND(ISNUMBER(O26),N(O26)&lt;=Configuración!$C$21),"Va a menos: pregunta por qué",IF(K26&lt;Configuración!$C$19,"Dale visibilidad entre tus socios","Va bien: mantenla"))))))))</f>
        <v>Va bien: mantenla</v>
      </c>
      <c r="T26">
        <f t="shared" si="4"/>
        <v>0.88194654444444454</v>
      </c>
      <c r="U26">
        <f t="shared" si="5"/>
        <v>12</v>
      </c>
      <c r="V26">
        <f t="shared" si="6"/>
        <v>10.583333333333334</v>
      </c>
      <c r="W26" t="str">
        <f>IF($B26="","",Clases!L26)</f>
        <v>Tarde-noche</v>
      </c>
      <c r="X26">
        <f>N(Clases!U26)</f>
        <v>5</v>
      </c>
    </row>
    <row r="27" spans="2:24" ht="18" customHeight="1" x14ac:dyDescent="0.2">
      <c r="B27" s="83">
        <f>IF(Clases!$B27="","",Clases!$B27)</f>
        <v>22</v>
      </c>
      <c r="C27" s="84" t="str">
        <f>IF($B27="","",Clases!C27)</f>
        <v>Miércoles</v>
      </c>
      <c r="D27" s="85">
        <f>IF($B27="","",Clases!D27)</f>
        <v>0.83333333333333337</v>
      </c>
      <c r="E27" s="84" t="str">
        <f>IF($B27="","",Clases!E27)</f>
        <v>Halterofilia</v>
      </c>
      <c r="F27" s="84" t="str">
        <f>IF($B27="","",Clases!F27)</f>
        <v>Box</v>
      </c>
      <c r="G27" s="84" t="str">
        <f>IF($B27="","",IF(Clases!G27="","—",Clases!G27))</f>
        <v>Javi</v>
      </c>
      <c r="H27" s="86">
        <f>IF($B27="","",Clases!I27)</f>
        <v>16</v>
      </c>
      <c r="I27" s="86">
        <f>IF($B27="","",COUNT(Asistencia!H30:S30))</f>
        <v>12</v>
      </c>
      <c r="J27" s="87">
        <f>IF($B27="","",IF(I27=0,"",AVERAGE(Asistencia!H30:S30)))</f>
        <v>7.833333333333333</v>
      </c>
      <c r="K27" s="88">
        <f t="shared" si="0"/>
        <v>0.48958333333333331</v>
      </c>
      <c r="L27" s="87">
        <f t="shared" si="1"/>
        <v>8.1666666666666679</v>
      </c>
      <c r="M27" s="87">
        <f>IF(J27="","",IFERROR(AVERAGEIFS(Asistencia!H30:S30,Asistencia!$H$5:$S$5,"&lt;=4"),""))</f>
        <v>7.5</v>
      </c>
      <c r="N27" s="87">
        <f>IF(OR(J27="",Asistencia!$T$4&lt;8),"",IFERROR(AVERAGEIFS(Asistencia!H30:S30,Asistencia!$H$5:$S$5,"&gt;="&amp;(Asistencia!$T$4-3),Asistencia!$H$5:$S$5,"&lt;="&amp;Asistencia!$T$4),""))</f>
        <v>7.75</v>
      </c>
      <c r="O27" s="89">
        <f t="shared" si="2"/>
        <v>3.3333333333333437E-2</v>
      </c>
      <c r="P27" s="90">
        <f>IF(J27="","",J27*Configuración!$C$15)</f>
        <v>53.962962962962962</v>
      </c>
      <c r="Q27" s="90">
        <f>IF($B27="","",IF(Clases!M27="",0,Clases!M27))</f>
        <v>20</v>
      </c>
      <c r="R27" s="91">
        <f t="shared" si="3"/>
        <v>33.962962962962962</v>
      </c>
      <c r="S27" s="84" t="str">
        <f>IF($B27="","",IF(J27="","Apunta la asistencia",IF(K27="","Faltan las plazas de la clase",IF(K27&gt;=Configuración!$C$20,"Casi llena: abre otra sesión",IF(K27&lt;Configuración!$C$18,"Revisa horario o formato",IF(R27&lt;0,"No cubre el coste del monitor",IF(AND(ISNUMBER(O27),N(O27)&lt;=Configuración!$C$21),"Va a menos: pregunta por qué",IF(K27&lt;Configuración!$C$19,"Dale visibilidad entre tus socios","Va bien: mantenla"))))))))</f>
        <v>Dale visibilidad entre tus socios</v>
      </c>
      <c r="T27">
        <f t="shared" si="4"/>
        <v>0.48958553333333332</v>
      </c>
      <c r="U27">
        <f t="shared" si="5"/>
        <v>16</v>
      </c>
      <c r="V27">
        <f t="shared" si="6"/>
        <v>7.833333333333333</v>
      </c>
      <c r="W27" t="str">
        <f>IF($B27="","",Clases!L27)</f>
        <v>Tarde-noche</v>
      </c>
      <c r="X27">
        <f>N(Clases!U27)</f>
        <v>8</v>
      </c>
    </row>
    <row r="28" spans="2:24" ht="18" customHeight="1" x14ac:dyDescent="0.2">
      <c r="B28" s="57">
        <f>IF(Clases!$B28="","",Clases!$B28)</f>
        <v>23</v>
      </c>
      <c r="C28" s="60" t="str">
        <f>IF($B28="","",Clases!C28)</f>
        <v>Jueves</v>
      </c>
      <c r="D28" s="59">
        <f>IF($B28="","",Clases!D28)</f>
        <v>0.29166666666666669</v>
      </c>
      <c r="E28" s="60" t="str">
        <f>IF($B28="","",Clases!E28)</f>
        <v>Cross training</v>
      </c>
      <c r="F28" s="60" t="str">
        <f>IF($B28="","",Clases!F28)</f>
        <v>Box</v>
      </c>
      <c r="G28" s="60" t="str">
        <f>IF($B28="","",IF(Clases!G28="","—",Clases!G28))</f>
        <v>Marta</v>
      </c>
      <c r="H28" s="32">
        <f>IF($B28="","",Clases!I28)</f>
        <v>16</v>
      </c>
      <c r="I28" s="32">
        <f>IF($B28="","",COUNT(Asistencia!H31:S31))</f>
        <v>12</v>
      </c>
      <c r="J28" s="37">
        <f>IF($B28="","",IF(I28=0,"",AVERAGE(Asistencia!H31:S31)))</f>
        <v>14.083333333333334</v>
      </c>
      <c r="K28" s="80">
        <f t="shared" si="0"/>
        <v>0.88020833333333337</v>
      </c>
      <c r="L28" s="37">
        <f t="shared" si="1"/>
        <v>1.9166666666666661</v>
      </c>
      <c r="M28" s="37">
        <f>IF(J28="","",IFERROR(AVERAGEIFS(Asistencia!H31:S31,Asistencia!$H$5:$S$5,"&lt;=4"),""))</f>
        <v>12.5</v>
      </c>
      <c r="N28" s="37">
        <f>IF(OR(J28="",Asistencia!$T$4&lt;8),"",IFERROR(AVERAGEIFS(Asistencia!H31:S31,Asistencia!$H$5:$S$5,"&gt;="&amp;(Asistencia!$T$4-3),Asistencia!$H$5:$S$5,"&lt;="&amp;Asistencia!$T$4),""))</f>
        <v>15.25</v>
      </c>
      <c r="O28" s="81">
        <f t="shared" si="2"/>
        <v>0.21999999999999997</v>
      </c>
      <c r="P28" s="61">
        <f>IF(J28="","",J28*Configuración!$C$15)</f>
        <v>97.018518518518533</v>
      </c>
      <c r="Q28" s="61">
        <f>IF($B28="","",IF(Clases!M28="",0,Clases!M28))</f>
        <v>18</v>
      </c>
      <c r="R28" s="82">
        <f t="shared" si="3"/>
        <v>79.018518518518533</v>
      </c>
      <c r="S28" s="60" t="str">
        <f>IF($B28="","",IF(J28="","Apunta la asistencia",IF(K28="","Faltan las plazas de la clase",IF(K28&gt;=Configuración!$C$20,"Casi llena: abre otra sesión",IF(K28&lt;Configuración!$C$18,"Revisa horario o formato",IF(R28&lt;0,"No cubre el coste del monitor",IF(AND(ISNUMBER(O28),N(O28)&lt;=Configuración!$C$21),"Va a menos: pregunta por qué",IF(K28&lt;Configuración!$C$19,"Dale visibilidad entre tus socios","Va bien: mantenla"))))))))</f>
        <v>Va bien: mantenla</v>
      </c>
      <c r="T28">
        <f t="shared" si="4"/>
        <v>0.88021063333333338</v>
      </c>
      <c r="U28">
        <f t="shared" si="5"/>
        <v>16</v>
      </c>
      <c r="V28">
        <f t="shared" si="6"/>
        <v>14.083333333333334</v>
      </c>
      <c r="W28" t="str">
        <f>IF($B28="","",Clases!L28)</f>
        <v>Primera hora</v>
      </c>
      <c r="X28">
        <f>N(Clases!U28)</f>
        <v>1</v>
      </c>
    </row>
    <row r="29" spans="2:24" ht="18" customHeight="1" x14ac:dyDescent="0.2">
      <c r="B29" s="83">
        <f>IF(Clases!$B29="","",Clases!$B29)</f>
        <v>24</v>
      </c>
      <c r="C29" s="84" t="str">
        <f>IF($B29="","",Clases!C29)</f>
        <v>Jueves</v>
      </c>
      <c r="D29" s="85">
        <f>IF($B29="","",Clases!D29)</f>
        <v>0.41666666666666669</v>
      </c>
      <c r="E29" s="84" t="str">
        <f>IF($B29="","",Clases!E29)</f>
        <v>Funcional sénior</v>
      </c>
      <c r="F29" s="84" t="str">
        <f>IF($B29="","",Clases!F29)</f>
        <v>Box</v>
      </c>
      <c r="G29" s="84" t="str">
        <f>IF($B29="","",IF(Clases!G29="","—",Clases!G29))</f>
        <v>Javi</v>
      </c>
      <c r="H29" s="86">
        <f>IF($B29="","",Clases!I29)</f>
        <v>10</v>
      </c>
      <c r="I29" s="86">
        <f>IF($B29="","",COUNT(Asistencia!H32:S32))</f>
        <v>12</v>
      </c>
      <c r="J29" s="87">
        <f>IF($B29="","",IF(I29=0,"",AVERAGE(Asistencia!H32:S32)))</f>
        <v>8.3333333333333339</v>
      </c>
      <c r="K29" s="88">
        <f t="shared" si="0"/>
        <v>0.83333333333333337</v>
      </c>
      <c r="L29" s="87">
        <f t="shared" si="1"/>
        <v>1.6666666666666661</v>
      </c>
      <c r="M29" s="87">
        <f>IF(J29="","",IFERROR(AVERAGEIFS(Asistencia!H32:S32,Asistencia!$H$5:$S$5,"&lt;=4"),""))</f>
        <v>7.75</v>
      </c>
      <c r="N29" s="87">
        <f>IF(OR(J29="",Asistencia!$T$4&lt;8),"",IFERROR(AVERAGEIFS(Asistencia!H32:S32,Asistencia!$H$5:$S$5,"&gt;="&amp;(Asistencia!$T$4-3),Asistencia!$H$5:$S$5,"&lt;="&amp;Asistencia!$T$4),""))</f>
        <v>9</v>
      </c>
      <c r="O29" s="89">
        <f t="shared" si="2"/>
        <v>0.16129032258064524</v>
      </c>
      <c r="P29" s="90">
        <f>IF(J29="","",J29*Configuración!$C$15)</f>
        <v>57.407407407407412</v>
      </c>
      <c r="Q29" s="90">
        <f>IF($B29="","",IF(Clases!M29="",0,Clases!M29))</f>
        <v>16.666666666666668</v>
      </c>
      <c r="R29" s="91">
        <f t="shared" si="3"/>
        <v>40.740740740740748</v>
      </c>
      <c r="S29" s="84" t="str">
        <f>IF($B29="","",IF(J29="","Apunta la asistencia",IF(K29="","Faltan las plazas de la clase",IF(K29&gt;=Configuración!$C$20,"Casi llena: abre otra sesión",IF(K29&lt;Configuración!$C$18,"Revisa horario o formato",IF(R29&lt;0,"No cubre el coste del monitor",IF(AND(ISNUMBER(O29),N(O29)&lt;=Configuración!$C$21),"Va a menos: pregunta por qué",IF(K29&lt;Configuración!$C$19,"Dale visibilidad entre tus socios","Va bien: mantenla"))))))))</f>
        <v>Va bien: mantenla</v>
      </c>
      <c r="T29">
        <f t="shared" si="4"/>
        <v>0.83333573333333333</v>
      </c>
      <c r="U29">
        <f t="shared" si="5"/>
        <v>10</v>
      </c>
      <c r="V29">
        <f t="shared" si="6"/>
        <v>8.3333333333333339</v>
      </c>
      <c r="W29" t="str">
        <f>IF($B29="","",Clases!L29)</f>
        <v>Mañana</v>
      </c>
      <c r="X29">
        <f>N(Clases!U29)</f>
        <v>10</v>
      </c>
    </row>
    <row r="30" spans="2:24" ht="18" customHeight="1" x14ac:dyDescent="0.2">
      <c r="B30" s="57">
        <f>IF(Clases!$B30="","",Clases!$B30)</f>
        <v>25</v>
      </c>
      <c r="C30" s="60" t="str">
        <f>IF($B30="","",Clases!C30)</f>
        <v>Jueves</v>
      </c>
      <c r="D30" s="59">
        <f>IF($B30="","",Clases!D30)</f>
        <v>0.42708333333333331</v>
      </c>
      <c r="E30" s="60" t="str">
        <f>IF($B30="","",Clases!E30)</f>
        <v>Movilidad</v>
      </c>
      <c r="F30" s="60" t="str">
        <f>IF($B30="","",Clases!F30)</f>
        <v>Estudio</v>
      </c>
      <c r="G30" s="60" t="str">
        <f>IF($B30="","",IF(Clases!G30="","—",Clases!G30))</f>
        <v>Lucía</v>
      </c>
      <c r="H30" s="32">
        <f>IF($B30="","",Clases!I30)</f>
        <v>12</v>
      </c>
      <c r="I30" s="32">
        <f>IF($B30="","",COUNT(Asistencia!H33:S33))</f>
        <v>12</v>
      </c>
      <c r="J30" s="37">
        <f>IF($B30="","",IF(I30=0,"",AVERAGE(Asistencia!H33:S33)))</f>
        <v>5.833333333333333</v>
      </c>
      <c r="K30" s="80">
        <f t="shared" si="0"/>
        <v>0.4861111111111111</v>
      </c>
      <c r="L30" s="37">
        <f t="shared" si="1"/>
        <v>6.166666666666667</v>
      </c>
      <c r="M30" s="37">
        <f>IF(J30="","",IFERROR(AVERAGEIFS(Asistencia!H33:S33,Asistencia!$H$5:$S$5,"&lt;=4"),""))</f>
        <v>5.25</v>
      </c>
      <c r="N30" s="37">
        <f>IF(OR(J30="",Asistencia!$T$4&lt;8),"",IFERROR(AVERAGEIFS(Asistencia!H33:S33,Asistencia!$H$5:$S$5,"&gt;="&amp;(Asistencia!$T$4-3),Asistencia!$H$5:$S$5,"&lt;="&amp;Asistencia!$T$4),""))</f>
        <v>6.25</v>
      </c>
      <c r="O30" s="81">
        <f t="shared" si="2"/>
        <v>0.19047619047619047</v>
      </c>
      <c r="P30" s="61">
        <f>IF(J30="","",J30*Configuración!$C$15)</f>
        <v>40.185185185185183</v>
      </c>
      <c r="Q30" s="61">
        <f>IF($B30="","",IF(Clases!M30="",0,Clases!M30))</f>
        <v>12.75</v>
      </c>
      <c r="R30" s="82">
        <f t="shared" si="3"/>
        <v>27.435185185185183</v>
      </c>
      <c r="S30" s="60" t="str">
        <f>IF($B30="","",IF(J30="","Apunta la asistencia",IF(K30="","Faltan las plazas de la clase",IF(K30&gt;=Configuración!$C$20,"Casi llena: abre otra sesión",IF(K30&lt;Configuración!$C$18,"Revisa horario o formato",IF(R30&lt;0,"No cubre el coste del monitor",IF(AND(ISNUMBER(O30),N(O30)&lt;=Configuración!$C$21),"Va a menos: pregunta por qué",IF(K30&lt;Configuración!$C$19,"Dale visibilidad entre tus socios","Va bien: mantenla"))))))))</f>
        <v>Dale visibilidad entre tus socios</v>
      </c>
      <c r="T30">
        <f t="shared" si="4"/>
        <v>0.48611361111111112</v>
      </c>
      <c r="U30">
        <f t="shared" si="5"/>
        <v>12</v>
      </c>
      <c r="V30">
        <f t="shared" si="6"/>
        <v>5.833333333333333</v>
      </c>
      <c r="W30" t="str">
        <f>IF($B30="","",Clases!L30)</f>
        <v>Mañana</v>
      </c>
      <c r="X30">
        <f>N(Clases!U30)</f>
        <v>6</v>
      </c>
    </row>
    <row r="31" spans="2:24" ht="18" customHeight="1" x14ac:dyDescent="0.2">
      <c r="B31" s="83">
        <f>IF(Clases!$B31="","",Clases!$B31)</f>
        <v>26</v>
      </c>
      <c r="C31" s="84" t="str">
        <f>IF($B31="","",Clases!C31)</f>
        <v>Jueves</v>
      </c>
      <c r="D31" s="85">
        <f>IF($B31="","",Clases!D31)</f>
        <v>0.59375</v>
      </c>
      <c r="E31" s="84" t="str">
        <f>IF($B31="","",Clases!E31)</f>
        <v>Core exprés</v>
      </c>
      <c r="F31" s="84" t="str">
        <f>IF($B31="","",Clases!F31)</f>
        <v>Estudio</v>
      </c>
      <c r="G31" s="84" t="str">
        <f>IF($B31="","",IF(Clases!G31="","—",Clases!G31))</f>
        <v>Dani</v>
      </c>
      <c r="H31" s="86">
        <f>IF($B31="","",Clases!I31)</f>
        <v>12</v>
      </c>
      <c r="I31" s="86">
        <f>IF($B31="","",COUNT(Asistencia!H34:S34))</f>
        <v>12</v>
      </c>
      <c r="J31" s="87">
        <f>IF($B31="","",IF(I31=0,"",AVERAGE(Asistencia!H34:S34)))</f>
        <v>3.25</v>
      </c>
      <c r="K31" s="88">
        <f t="shared" si="0"/>
        <v>0.27083333333333331</v>
      </c>
      <c r="L31" s="87">
        <f t="shared" si="1"/>
        <v>8.75</v>
      </c>
      <c r="M31" s="87">
        <f>IF(J31="","",IFERROR(AVERAGEIFS(Asistencia!H34:S34,Asistencia!$H$5:$S$5,"&lt;=4"),""))</f>
        <v>2.75</v>
      </c>
      <c r="N31" s="87">
        <f>IF(OR(J31="",Asistencia!$T$4&lt;8),"",IFERROR(AVERAGEIFS(Asistencia!H34:S34,Asistencia!$H$5:$S$5,"&gt;="&amp;(Asistencia!$T$4-3),Asistencia!$H$5:$S$5,"&lt;="&amp;Asistencia!$T$4),""))</f>
        <v>3.25</v>
      </c>
      <c r="O31" s="89">
        <f t="shared" si="2"/>
        <v>0.18181818181818188</v>
      </c>
      <c r="P31" s="90">
        <f>IF(J31="","",J31*Configuración!$C$15)</f>
        <v>22.388888888888889</v>
      </c>
      <c r="Q31" s="90">
        <f>IF($B31="","",IF(Clases!M31="",0,Clases!M31))</f>
        <v>8</v>
      </c>
      <c r="R31" s="91">
        <f t="shared" si="3"/>
        <v>14.388888888888889</v>
      </c>
      <c r="S31" s="84" t="str">
        <f>IF($B31="","",IF(J31="","Apunta la asistencia",IF(K31="","Faltan las plazas de la clase",IF(K31&gt;=Configuración!$C$20,"Casi llena: abre otra sesión",IF(K31&lt;Configuración!$C$18,"Revisa horario o formato",IF(R31&lt;0,"No cubre el coste del monitor",IF(AND(ISNUMBER(O31),N(O31)&lt;=Configuración!$C$21),"Va a menos: pregunta por qué",IF(K31&lt;Configuración!$C$19,"Dale visibilidad entre tus socios","Va bien: mantenla"))))))))</f>
        <v>Revisa horario o formato</v>
      </c>
      <c r="T31">
        <f t="shared" si="4"/>
        <v>0.27083593333333333</v>
      </c>
      <c r="U31">
        <f t="shared" si="5"/>
        <v>12</v>
      </c>
      <c r="V31">
        <f t="shared" si="6"/>
        <v>3.25</v>
      </c>
      <c r="W31" t="str">
        <f>IF($B31="","",Clases!L31)</f>
        <v>Mediodía</v>
      </c>
      <c r="X31">
        <f>N(Clases!U31)</f>
        <v>9</v>
      </c>
    </row>
    <row r="32" spans="2:24" ht="18" customHeight="1" x14ac:dyDescent="0.2">
      <c r="B32" s="57">
        <f>IF(Clases!$B32="","",Clases!$B32)</f>
        <v>27</v>
      </c>
      <c r="C32" s="60" t="str">
        <f>IF($B32="","",Clases!C32)</f>
        <v>Jueves</v>
      </c>
      <c r="D32" s="59">
        <f>IF($B32="","",Clases!D32)</f>
        <v>0.79166666666666663</v>
      </c>
      <c r="E32" s="60" t="str">
        <f>IF($B32="","",Clases!E32)</f>
        <v>Cross training</v>
      </c>
      <c r="F32" s="60" t="str">
        <f>IF($B32="","",Clases!F32)</f>
        <v>Box</v>
      </c>
      <c r="G32" s="60" t="str">
        <f>IF($B32="","",IF(Clases!G32="","—",Clases!G32))</f>
        <v>Marta</v>
      </c>
      <c r="H32" s="32">
        <f>IF($B32="","",Clases!I32)</f>
        <v>16</v>
      </c>
      <c r="I32" s="32">
        <f>IF($B32="","",COUNT(Asistencia!H35:S35))</f>
        <v>12</v>
      </c>
      <c r="J32" s="37">
        <f>IF($B32="","",IF(I32=0,"",AVERAGE(Asistencia!H35:S35)))</f>
        <v>13.083333333333334</v>
      </c>
      <c r="K32" s="80">
        <f t="shared" si="0"/>
        <v>0.81770833333333337</v>
      </c>
      <c r="L32" s="37">
        <f t="shared" si="1"/>
        <v>2.9166666666666661</v>
      </c>
      <c r="M32" s="37">
        <f>IF(J32="","",IFERROR(AVERAGEIFS(Asistencia!H35:S35,Asistencia!$H$5:$S$5,"&lt;=4"),""))</f>
        <v>11</v>
      </c>
      <c r="N32" s="37">
        <f>IF(OR(J32="",Asistencia!$T$4&lt;8),"",IFERROR(AVERAGEIFS(Asistencia!H35:S35,Asistencia!$H$5:$S$5,"&gt;="&amp;(Asistencia!$T$4-3),Asistencia!$H$5:$S$5,"&lt;="&amp;Asistencia!$T$4),""))</f>
        <v>14.5</v>
      </c>
      <c r="O32" s="81">
        <f t="shared" si="2"/>
        <v>0.31818181818181812</v>
      </c>
      <c r="P32" s="61">
        <f>IF(J32="","",J32*Configuración!$C$15)</f>
        <v>90.129629629629633</v>
      </c>
      <c r="Q32" s="61">
        <f>IF($B32="","",IF(Clases!M32="",0,Clases!M32))</f>
        <v>18</v>
      </c>
      <c r="R32" s="82">
        <f t="shared" si="3"/>
        <v>72.129629629629633</v>
      </c>
      <c r="S32" s="60" t="str">
        <f>IF($B32="","",IF(J32="","Apunta la asistencia",IF(K32="","Faltan las plazas de la clase",IF(K32&gt;=Configuración!$C$20,"Casi llena: abre otra sesión",IF(K32&lt;Configuración!$C$18,"Revisa horario o formato",IF(R32&lt;0,"No cubre el coste del monitor",IF(AND(ISNUMBER(O32),N(O32)&lt;=Configuración!$C$21),"Va a menos: pregunta por qué",IF(K32&lt;Configuración!$C$19,"Dale visibilidad entre tus socios","Va bien: mantenla"))))))))</f>
        <v>Va bien: mantenla</v>
      </c>
      <c r="T32">
        <f t="shared" si="4"/>
        <v>0.81771103333333339</v>
      </c>
      <c r="U32">
        <f t="shared" si="5"/>
        <v>16</v>
      </c>
      <c r="V32">
        <f t="shared" si="6"/>
        <v>13.083333333333334</v>
      </c>
      <c r="W32" t="str">
        <f>IF($B32="","",Clases!L32)</f>
        <v>Tarde-noche</v>
      </c>
      <c r="X32">
        <f>N(Clases!U32)</f>
        <v>1</v>
      </c>
    </row>
    <row r="33" spans="2:24" ht="18" customHeight="1" x14ac:dyDescent="0.2">
      <c r="B33" s="83">
        <f>IF(Clases!$B33="","",Clases!$B33)</f>
        <v>28</v>
      </c>
      <c r="C33" s="84" t="str">
        <f>IF($B33="","",Clases!C33)</f>
        <v>Jueves</v>
      </c>
      <c r="D33" s="85">
        <f>IF($B33="","",Clases!D33)</f>
        <v>0.79166666666666663</v>
      </c>
      <c r="E33" s="84" t="str">
        <f>IF($B33="","",Clases!E33)</f>
        <v>Pilates</v>
      </c>
      <c r="F33" s="84" t="str">
        <f>IF($B33="","",Clases!F33)</f>
        <v>Estudio</v>
      </c>
      <c r="G33" s="84" t="str">
        <f>IF($B33="","",IF(Clases!G33="","—",Clases!G33))</f>
        <v>Sara</v>
      </c>
      <c r="H33" s="86">
        <f>IF($B33="","",Clases!I33)</f>
        <v>12</v>
      </c>
      <c r="I33" s="86">
        <f>IF($B33="","",COUNT(Asistencia!H36:S36))</f>
        <v>12</v>
      </c>
      <c r="J33" s="87">
        <f>IF($B33="","",IF(I33=0,"",AVERAGE(Asistencia!H36:S36)))</f>
        <v>9.6666666666666661</v>
      </c>
      <c r="K33" s="88">
        <f t="shared" si="0"/>
        <v>0.80555555555555547</v>
      </c>
      <c r="L33" s="87">
        <f t="shared" si="1"/>
        <v>2.3333333333333339</v>
      </c>
      <c r="M33" s="87">
        <f>IF(J33="","",IFERROR(AVERAGEIFS(Asistencia!H36:S36,Asistencia!$H$5:$S$5,"&lt;=4"),""))</f>
        <v>8.25</v>
      </c>
      <c r="N33" s="87">
        <f>IF(OR(J33="",Asistencia!$T$4&lt;8),"",IFERROR(AVERAGEIFS(Asistencia!H36:S36,Asistencia!$H$5:$S$5,"&gt;="&amp;(Asistencia!$T$4-3),Asistencia!$H$5:$S$5,"&lt;="&amp;Asistencia!$T$4),""))</f>
        <v>10.75</v>
      </c>
      <c r="O33" s="89">
        <f t="shared" si="2"/>
        <v>0.30303030303030298</v>
      </c>
      <c r="P33" s="90">
        <f>IF(J33="","",J33*Configuración!$C$15)</f>
        <v>66.592592592592595</v>
      </c>
      <c r="Q33" s="90">
        <f>IF($B33="","",IF(Clases!M33="",0,Clases!M33))</f>
        <v>20.166666666666668</v>
      </c>
      <c r="R33" s="91">
        <f t="shared" si="3"/>
        <v>46.425925925925924</v>
      </c>
      <c r="S33" s="84" t="str">
        <f>IF($B33="","",IF(J33="","Apunta la asistencia",IF(K33="","Faltan las plazas de la clase",IF(K33&gt;=Configuración!$C$20,"Casi llena: abre otra sesión",IF(K33&lt;Configuración!$C$18,"Revisa horario o formato",IF(R33&lt;0,"No cubre el coste del monitor",IF(AND(ISNUMBER(O33),N(O33)&lt;=Configuración!$C$21),"Va a menos: pregunta por qué",IF(K33&lt;Configuración!$C$19,"Dale visibilidad entre tus socios","Va bien: mantenla"))))))))</f>
        <v>Va bien: mantenla</v>
      </c>
      <c r="T33">
        <f t="shared" si="4"/>
        <v>0.80555835555555544</v>
      </c>
      <c r="U33">
        <f t="shared" si="5"/>
        <v>12</v>
      </c>
      <c r="V33">
        <f t="shared" si="6"/>
        <v>9.6666666666666661</v>
      </c>
      <c r="W33" t="str">
        <f>IF($B33="","",Clases!L33)</f>
        <v>Tarde-noche</v>
      </c>
      <c r="X33">
        <f>N(Clases!U33)</f>
        <v>3</v>
      </c>
    </row>
    <row r="34" spans="2:24" ht="18" customHeight="1" x14ac:dyDescent="0.2">
      <c r="B34" s="57">
        <f>IF(Clases!$B34="","",Clases!$B34)</f>
        <v>29</v>
      </c>
      <c r="C34" s="60" t="str">
        <f>IF($B34="","",Clases!C34)</f>
        <v>Jueves</v>
      </c>
      <c r="D34" s="59">
        <f>IF($B34="","",Clases!D34)</f>
        <v>0.83333333333333337</v>
      </c>
      <c r="E34" s="60" t="str">
        <f>IF($B34="","",Clases!E34)</f>
        <v>Yoga</v>
      </c>
      <c r="F34" s="60" t="str">
        <f>IF($B34="","",Clases!F34)</f>
        <v>Estudio</v>
      </c>
      <c r="G34" s="60" t="str">
        <f>IF($B34="","",IF(Clases!G34="","—",Clases!G34))</f>
        <v>Lucía</v>
      </c>
      <c r="H34" s="32">
        <f>IF($B34="","",Clases!I34)</f>
        <v>12</v>
      </c>
      <c r="I34" s="32">
        <f>IF($B34="","",COUNT(Asistencia!H37:S37))</f>
        <v>12</v>
      </c>
      <c r="J34" s="37">
        <f>IF($B34="","",IF(I34=0,"",AVERAGE(Asistencia!H37:S37)))</f>
        <v>8</v>
      </c>
      <c r="K34" s="80">
        <f t="shared" si="0"/>
        <v>0.66666666666666663</v>
      </c>
      <c r="L34" s="37">
        <f t="shared" si="1"/>
        <v>4</v>
      </c>
      <c r="M34" s="37">
        <f>IF(J34="","",IFERROR(AVERAGEIFS(Asistencia!H37:S37,Asistencia!$H$5:$S$5,"&lt;=4"),""))</f>
        <v>7</v>
      </c>
      <c r="N34" s="37">
        <f>IF(OR(J34="",Asistencia!$T$4&lt;8),"",IFERROR(AVERAGEIFS(Asistencia!H37:S37,Asistencia!$H$5:$S$5,"&gt;="&amp;(Asistencia!$T$4-3),Asistencia!$H$5:$S$5,"&lt;="&amp;Asistencia!$T$4),""))</f>
        <v>8.75</v>
      </c>
      <c r="O34" s="81">
        <f t="shared" si="2"/>
        <v>0.25</v>
      </c>
      <c r="P34" s="61">
        <f>IF(J34="","",J34*Configuración!$C$15)</f>
        <v>55.111111111111114</v>
      </c>
      <c r="Q34" s="61">
        <f>IF($B34="","",IF(Clases!M34="",0,Clases!M34))</f>
        <v>17</v>
      </c>
      <c r="R34" s="82">
        <f t="shared" si="3"/>
        <v>38.111111111111114</v>
      </c>
      <c r="S34" s="60" t="str">
        <f>IF($B34="","",IF(J34="","Apunta la asistencia",IF(K34="","Faltan las plazas de la clase",IF(K34&gt;=Configuración!$C$20,"Casi llena: abre otra sesión",IF(K34&lt;Configuración!$C$18,"Revisa horario o formato",IF(R34&lt;0,"No cubre el coste del monitor",IF(AND(ISNUMBER(O34),N(O34)&lt;=Configuración!$C$21),"Va a menos: pregunta por qué",IF(K34&lt;Configuración!$C$19,"Dale visibilidad entre tus socios","Va bien: mantenla"))))))))</f>
        <v>Va bien: mantenla</v>
      </c>
      <c r="T34">
        <f t="shared" si="4"/>
        <v>0.66666956666666666</v>
      </c>
      <c r="U34">
        <f t="shared" si="5"/>
        <v>12</v>
      </c>
      <c r="V34">
        <f t="shared" si="6"/>
        <v>8</v>
      </c>
      <c r="W34" t="str">
        <f>IF($B34="","",Clases!L34)</f>
        <v>Tarde-noche</v>
      </c>
      <c r="X34">
        <f>N(Clases!U34)</f>
        <v>4</v>
      </c>
    </row>
    <row r="35" spans="2:24" ht="18" customHeight="1" x14ac:dyDescent="0.2">
      <c r="B35" s="83">
        <f>IF(Clases!$B35="","",Clases!$B35)</f>
        <v>30</v>
      </c>
      <c r="C35" s="84" t="str">
        <f>IF($B35="","",Clases!C35)</f>
        <v>Jueves</v>
      </c>
      <c r="D35" s="85">
        <f>IF($B35="","",Clases!D35)</f>
        <v>0.875</v>
      </c>
      <c r="E35" s="84" t="str">
        <f>IF($B35="","",Clases!E35)</f>
        <v>Cross training</v>
      </c>
      <c r="F35" s="84" t="str">
        <f>IF($B35="","",Clases!F35)</f>
        <v>Box</v>
      </c>
      <c r="G35" s="84" t="str">
        <f>IF($B35="","",IF(Clases!G35="","—",Clases!G35))</f>
        <v>Dani</v>
      </c>
      <c r="H35" s="86">
        <f>IF($B35="","",Clases!I35)</f>
        <v>16</v>
      </c>
      <c r="I35" s="86">
        <f>IF($B35="","",COUNT(Asistencia!H38:S38))</f>
        <v>12</v>
      </c>
      <c r="J35" s="87">
        <f>IF($B35="","",IF(I35=0,"",AVERAGE(Asistencia!H38:S38)))</f>
        <v>9.5833333333333339</v>
      </c>
      <c r="K35" s="88">
        <f t="shared" si="0"/>
        <v>0.59895833333333337</v>
      </c>
      <c r="L35" s="87">
        <f t="shared" si="1"/>
        <v>6.4166666666666661</v>
      </c>
      <c r="M35" s="87">
        <f>IF(J35="","",IFERROR(AVERAGEIFS(Asistencia!H38:S38,Asistencia!$H$5:$S$5,"&lt;=4"),""))</f>
        <v>10.25</v>
      </c>
      <c r="N35" s="87">
        <f>IF(OR(J35="",Asistencia!$T$4&lt;8),"",IFERROR(AVERAGEIFS(Asistencia!H38:S38,Asistencia!$H$5:$S$5,"&gt;="&amp;(Asistencia!$T$4-3),Asistencia!$H$5:$S$5,"&lt;="&amp;Asistencia!$T$4),""))</f>
        <v>9</v>
      </c>
      <c r="O35" s="89">
        <f t="shared" si="2"/>
        <v>-0.12195121951219512</v>
      </c>
      <c r="P35" s="90">
        <f>IF(J35="","",J35*Configuración!$C$15)</f>
        <v>66.018518518518533</v>
      </c>
      <c r="Q35" s="90">
        <f>IF($B35="","",IF(Clases!M35="",0,Clases!M35))</f>
        <v>16</v>
      </c>
      <c r="R35" s="91">
        <f t="shared" si="3"/>
        <v>50.018518518518533</v>
      </c>
      <c r="S35" s="84" t="str">
        <f>IF($B35="","",IF(J35="","Apunta la asistencia",IF(K35="","Faltan las plazas de la clase",IF(K35&gt;=Configuración!$C$20,"Casi llena: abre otra sesión",IF(K35&lt;Configuración!$C$18,"Revisa horario o formato",IF(R35&lt;0,"No cubre el coste del monitor",IF(AND(ISNUMBER(O35),N(O35)&lt;=Configuración!$C$21),"Va a menos: pregunta por qué",IF(K35&lt;Configuración!$C$19,"Dale visibilidad entre tus socios","Va bien: mantenla"))))))))</f>
        <v>Dale visibilidad entre tus socios</v>
      </c>
      <c r="T35">
        <f t="shared" si="4"/>
        <v>0.59896133333333335</v>
      </c>
      <c r="U35">
        <f t="shared" si="5"/>
        <v>16</v>
      </c>
      <c r="V35">
        <f t="shared" si="6"/>
        <v>9.5833333333333339</v>
      </c>
      <c r="W35" t="str">
        <f>IF($B35="","",Clases!L35)</f>
        <v>Noche</v>
      </c>
      <c r="X35">
        <f>N(Clases!U35)</f>
        <v>1</v>
      </c>
    </row>
    <row r="36" spans="2:24" ht="18" customHeight="1" x14ac:dyDescent="0.2">
      <c r="B36" s="57">
        <f>IF(Clases!$B36="","",Clases!$B36)</f>
        <v>31</v>
      </c>
      <c r="C36" s="60" t="str">
        <f>IF($B36="","",Clases!C36)</f>
        <v>Viernes</v>
      </c>
      <c r="D36" s="59">
        <f>IF($B36="","",Clases!D36)</f>
        <v>0.29166666666666669</v>
      </c>
      <c r="E36" s="60" t="str">
        <f>IF($B36="","",Clases!E36)</f>
        <v>Cross training</v>
      </c>
      <c r="F36" s="60" t="str">
        <f>IF($B36="","",Clases!F36)</f>
        <v>Box</v>
      </c>
      <c r="G36" s="60" t="str">
        <f>IF($B36="","",IF(Clases!G36="","—",Clases!G36))</f>
        <v>Marta</v>
      </c>
      <c r="H36" s="32">
        <f>IF($B36="","",Clases!I36)</f>
        <v>16</v>
      </c>
      <c r="I36" s="32">
        <f>IF($B36="","",COUNT(Asistencia!H39:S39))</f>
        <v>12</v>
      </c>
      <c r="J36" s="37">
        <f>IF($B36="","",IF(I36=0,"",AVERAGE(Asistencia!H39:S39)))</f>
        <v>13.166666666666666</v>
      </c>
      <c r="K36" s="80">
        <f t="shared" si="0"/>
        <v>0.82291666666666663</v>
      </c>
      <c r="L36" s="37">
        <f t="shared" si="1"/>
        <v>2.8333333333333339</v>
      </c>
      <c r="M36" s="37">
        <f>IF(J36="","",IFERROR(AVERAGEIFS(Asistencia!H39:S39,Asistencia!$H$5:$S$5,"&lt;=4"),""))</f>
        <v>12</v>
      </c>
      <c r="N36" s="37">
        <f>IF(OR(J36="",Asistencia!$T$4&lt;8),"",IFERROR(AVERAGEIFS(Asistencia!H39:S39,Asistencia!$H$5:$S$5,"&gt;="&amp;(Asistencia!$T$4-3),Asistencia!$H$5:$S$5,"&lt;="&amp;Asistencia!$T$4),""))</f>
        <v>13.5</v>
      </c>
      <c r="O36" s="81">
        <f t="shared" si="2"/>
        <v>0.125</v>
      </c>
      <c r="P36" s="61">
        <f>IF(J36="","",J36*Configuración!$C$15)</f>
        <v>90.703703703703709</v>
      </c>
      <c r="Q36" s="61">
        <f>IF($B36="","",IF(Clases!M36="",0,Clases!M36))</f>
        <v>18</v>
      </c>
      <c r="R36" s="82">
        <f t="shared" si="3"/>
        <v>72.703703703703709</v>
      </c>
      <c r="S36" s="60" t="str">
        <f>IF($B36="","",IF(J36="","Apunta la asistencia",IF(K36="","Faltan las plazas de la clase",IF(K36&gt;=Configuración!$C$20,"Casi llena: abre otra sesión",IF(K36&lt;Configuración!$C$18,"Revisa horario o formato",IF(R36&lt;0,"No cubre el coste del monitor",IF(AND(ISNUMBER(O36),N(O36)&lt;=Configuración!$C$21),"Va a menos: pregunta por qué",IF(K36&lt;Configuración!$C$19,"Dale visibilidad entre tus socios","Va bien: mantenla"))))))))</f>
        <v>Va bien: mantenla</v>
      </c>
      <c r="T36">
        <f t="shared" si="4"/>
        <v>0.82291976666666666</v>
      </c>
      <c r="U36">
        <f t="shared" si="5"/>
        <v>16</v>
      </c>
      <c r="V36">
        <f t="shared" si="6"/>
        <v>13.166666666666666</v>
      </c>
      <c r="W36" t="str">
        <f>IF($B36="","",Clases!L36)</f>
        <v>Primera hora</v>
      </c>
      <c r="X36">
        <f>N(Clases!U36)</f>
        <v>1</v>
      </c>
    </row>
    <row r="37" spans="2:24" ht="18" customHeight="1" x14ac:dyDescent="0.2">
      <c r="B37" s="83">
        <f>IF(Clases!$B37="","",Clases!$B37)</f>
        <v>32</v>
      </c>
      <c r="C37" s="84" t="str">
        <f>IF($B37="","",Clases!C37)</f>
        <v>Viernes</v>
      </c>
      <c r="D37" s="85">
        <f>IF($B37="","",Clases!D37)</f>
        <v>0.375</v>
      </c>
      <c r="E37" s="84" t="str">
        <f>IF($B37="","",Clases!E37)</f>
        <v>Pilates</v>
      </c>
      <c r="F37" s="84" t="str">
        <f>IF($B37="","",Clases!F37)</f>
        <v>Estudio</v>
      </c>
      <c r="G37" s="84" t="str">
        <f>IF($B37="","",IF(Clases!G37="","—",Clases!G37))</f>
        <v>Sara</v>
      </c>
      <c r="H37" s="86">
        <f>IF($B37="","",Clases!I37)</f>
        <v>12</v>
      </c>
      <c r="I37" s="86">
        <f>IF($B37="","",COUNT(Asistencia!H40:S40))</f>
        <v>12</v>
      </c>
      <c r="J37" s="87">
        <f>IF($B37="","",IF(I37=0,"",AVERAGE(Asistencia!H40:S40)))</f>
        <v>8.25</v>
      </c>
      <c r="K37" s="88">
        <f t="shared" si="0"/>
        <v>0.6875</v>
      </c>
      <c r="L37" s="87">
        <f t="shared" si="1"/>
        <v>3.75</v>
      </c>
      <c r="M37" s="87">
        <f>IF(J37="","",IFERROR(AVERAGEIFS(Asistencia!H40:S40,Asistencia!$H$5:$S$5,"&lt;=4"),""))</f>
        <v>7.5</v>
      </c>
      <c r="N37" s="87">
        <f>IF(OR(J37="",Asistencia!$T$4&lt;8),"",IFERROR(AVERAGEIFS(Asistencia!H40:S40,Asistencia!$H$5:$S$5,"&gt;="&amp;(Asistencia!$T$4-3),Asistencia!$H$5:$S$5,"&lt;="&amp;Asistencia!$T$4),""))</f>
        <v>8.5</v>
      </c>
      <c r="O37" s="89">
        <f t="shared" si="2"/>
        <v>0.1333333333333333</v>
      </c>
      <c r="P37" s="90">
        <f>IF(J37="","",J37*Configuración!$C$15)</f>
        <v>56.833333333333336</v>
      </c>
      <c r="Q37" s="90">
        <f>IF($B37="","",IF(Clases!M37="",0,Clases!M37))</f>
        <v>20.166666666666668</v>
      </c>
      <c r="R37" s="91">
        <f t="shared" si="3"/>
        <v>36.666666666666671</v>
      </c>
      <c r="S37" s="84" t="str">
        <f>IF($B37="","",IF(J37="","Apunta la asistencia",IF(K37="","Faltan las plazas de la clase",IF(K37&gt;=Configuración!$C$20,"Casi llena: abre otra sesión",IF(K37&lt;Configuración!$C$18,"Revisa horario o formato",IF(R37&lt;0,"No cubre el coste del monitor",IF(AND(ISNUMBER(O37),N(O37)&lt;=Configuración!$C$21),"Va a menos: pregunta por qué",IF(K37&lt;Configuración!$C$19,"Dale visibilidad entre tus socios","Va bien: mantenla"))))))))</f>
        <v>Va bien: mantenla</v>
      </c>
      <c r="T37">
        <f t="shared" si="4"/>
        <v>0.68750319999999998</v>
      </c>
      <c r="U37">
        <f t="shared" si="5"/>
        <v>12</v>
      </c>
      <c r="V37">
        <f t="shared" si="6"/>
        <v>8.25</v>
      </c>
      <c r="W37" t="str">
        <f>IF($B37="","",Clases!L37)</f>
        <v>Mañana</v>
      </c>
      <c r="X37">
        <f>N(Clases!U37)</f>
        <v>3</v>
      </c>
    </row>
    <row r="38" spans="2:24" ht="18" customHeight="1" x14ac:dyDescent="0.2">
      <c r="B38" s="57">
        <f>IF(Clases!$B38="","",Clases!$B38)</f>
        <v>33</v>
      </c>
      <c r="C38" s="60" t="str">
        <f>IF($B38="","",Clases!C38)</f>
        <v>Viernes</v>
      </c>
      <c r="D38" s="59">
        <f>IF($B38="","",Clases!D38)</f>
        <v>0.79166666666666663</v>
      </c>
      <c r="E38" s="60" t="str">
        <f>IF($B38="","",Clases!E38)</f>
        <v>Cross training</v>
      </c>
      <c r="F38" s="60" t="str">
        <f>IF($B38="","",Clases!F38)</f>
        <v>Box</v>
      </c>
      <c r="G38" s="60" t="str">
        <f>IF($B38="","",IF(Clases!G38="","—",Clases!G38))</f>
        <v>Javi</v>
      </c>
      <c r="H38" s="32">
        <f>IF($B38="","",Clases!I38)</f>
        <v>16</v>
      </c>
      <c r="I38" s="32">
        <f>IF($B38="","",COUNT(Asistencia!H41:S41))</f>
        <v>12</v>
      </c>
      <c r="J38" s="37">
        <f>IF($B38="","",IF(I38=0,"",AVERAGE(Asistencia!H41:S41)))</f>
        <v>10.916666666666666</v>
      </c>
      <c r="K38" s="80">
        <f t="shared" ref="K38:K69" si="7">IF(OR(J38="",N(H38)=0),"",J38/H38)</f>
        <v>0.68229166666666663</v>
      </c>
      <c r="L38" s="37">
        <f t="shared" ref="L38:L69" si="8">IF(K38="","",MAX(0,H38-J38))</f>
        <v>5.0833333333333339</v>
      </c>
      <c r="M38" s="37">
        <f>IF(J38="","",IFERROR(AVERAGEIFS(Asistencia!H41:S41,Asistencia!$H$5:$S$5,"&lt;=4"),""))</f>
        <v>9.75</v>
      </c>
      <c r="N38" s="37">
        <f>IF(OR(J38="",Asistencia!$T$4&lt;8),"",IFERROR(AVERAGEIFS(Asistencia!H41:S41,Asistencia!$H$5:$S$5,"&gt;="&amp;(Asistencia!$T$4-3),Asistencia!$H$5:$S$5,"&lt;="&amp;Asistencia!$T$4),""))</f>
        <v>11.75</v>
      </c>
      <c r="O38" s="81">
        <f t="shared" ref="O38:O69" si="9">IF(OR(M38="",N38=""),"",IF(M38=0,"",N38/M38-1))</f>
        <v>0.20512820512820507</v>
      </c>
      <c r="P38" s="61">
        <f>IF(J38="","",J38*Configuración!$C$15)</f>
        <v>75.203703703703709</v>
      </c>
      <c r="Q38" s="61">
        <f>IF($B38="","",IF(Clases!M38="",0,Clases!M38))</f>
        <v>20</v>
      </c>
      <c r="R38" s="82">
        <f t="shared" ref="R38:R69" si="10">IF(P38="","",P38-Q38)</f>
        <v>55.203703703703709</v>
      </c>
      <c r="S38" s="60" t="str">
        <f>IF($B38="","",IF(J38="","Apunta la asistencia",IF(K38="","Faltan las plazas de la clase",IF(K38&gt;=Configuración!$C$20,"Casi llena: abre otra sesión",IF(K38&lt;Configuración!$C$18,"Revisa horario o formato",IF(R38&lt;0,"No cubre el coste del monitor",IF(AND(ISNUMBER(O38),N(O38)&lt;=Configuración!$C$21),"Va a menos: pregunta por qué",IF(K38&lt;Configuración!$C$19,"Dale visibilidad entre tus socios","Va bien: mantenla"))))))))</f>
        <v>Va bien: mantenla</v>
      </c>
      <c r="T38">
        <f t="shared" ref="T38:T65" si="11">IF(K38="","",K38+B38/10000000)</f>
        <v>0.68229496666666667</v>
      </c>
      <c r="U38">
        <f t="shared" ref="U38:U65" si="12">IF(K38="",0,H38)</f>
        <v>16</v>
      </c>
      <c r="V38">
        <f t="shared" ref="V38:V65" si="13">IF(K38="",0,J38)</f>
        <v>10.916666666666666</v>
      </c>
      <c r="W38" t="str">
        <f>IF($B38="","",Clases!L38)</f>
        <v>Tarde-noche</v>
      </c>
      <c r="X38">
        <f>N(Clases!U38)</f>
        <v>1</v>
      </c>
    </row>
    <row r="39" spans="2:24" ht="18" customHeight="1" x14ac:dyDescent="0.2">
      <c r="B39" s="83">
        <f>IF(Clases!$B39="","",Clases!$B39)</f>
        <v>34</v>
      </c>
      <c r="C39" s="84" t="str">
        <f>IF($B39="","",Clases!C39)</f>
        <v>Viernes</v>
      </c>
      <c r="D39" s="85">
        <f>IF($B39="","",Clases!D39)</f>
        <v>0.79166666666666663</v>
      </c>
      <c r="E39" s="84" t="str">
        <f>IF($B39="","",Clases!E39)</f>
        <v>Ciclo indoor</v>
      </c>
      <c r="F39" s="84" t="str">
        <f>IF($B39="","",Clases!F39)</f>
        <v>Estudio</v>
      </c>
      <c r="G39" s="84" t="str">
        <f>IF($B39="","",IF(Clases!G39="","—",Clases!G39))</f>
        <v>Dani</v>
      </c>
      <c r="H39" s="86">
        <f>IF($B39="","",Clases!I39)</f>
        <v>12</v>
      </c>
      <c r="I39" s="86">
        <f>IF($B39="","",COUNT(Asistencia!H42:S42))</f>
        <v>12</v>
      </c>
      <c r="J39" s="87">
        <f>IF($B39="","",IF(I39=0,"",AVERAGE(Asistencia!H42:S42)))</f>
        <v>7.333333333333333</v>
      </c>
      <c r="K39" s="88">
        <f t="shared" si="7"/>
        <v>0.61111111111111105</v>
      </c>
      <c r="L39" s="87">
        <f t="shared" si="8"/>
        <v>4.666666666666667</v>
      </c>
      <c r="M39" s="87">
        <f>IF(J39="","",IFERROR(AVERAGEIFS(Asistencia!H42:S42,Asistencia!$H$5:$S$5,"&lt;=4"),""))</f>
        <v>6.5</v>
      </c>
      <c r="N39" s="87">
        <f>IF(OR(J39="",Asistencia!$T$4&lt;8),"",IFERROR(AVERAGEIFS(Asistencia!H42:S42,Asistencia!$H$5:$S$5,"&gt;="&amp;(Asistencia!$T$4-3),Asistencia!$H$5:$S$5,"&lt;="&amp;Asistencia!$T$4),""))</f>
        <v>8.25</v>
      </c>
      <c r="O39" s="89">
        <f t="shared" si="9"/>
        <v>0.26923076923076916</v>
      </c>
      <c r="P39" s="90">
        <f>IF(J39="","",J39*Configuración!$C$15)</f>
        <v>50.518518518518519</v>
      </c>
      <c r="Q39" s="90">
        <f>IF($B39="","",IF(Clases!M39="",0,Clases!M39))</f>
        <v>12</v>
      </c>
      <c r="R39" s="91">
        <f t="shared" si="10"/>
        <v>38.518518518518519</v>
      </c>
      <c r="S39" s="84" t="str">
        <f>IF($B39="","",IF(J39="","Apunta la asistencia",IF(K39="","Faltan las plazas de la clase",IF(K39&gt;=Configuración!$C$20,"Casi llena: abre otra sesión",IF(K39&lt;Configuración!$C$18,"Revisa horario o formato",IF(R39&lt;0,"No cubre el coste del monitor",IF(AND(ISNUMBER(O39),N(O39)&lt;=Configuración!$C$21),"Va a menos: pregunta por qué",IF(K39&lt;Configuración!$C$19,"Dale visibilidad entre tus socios","Va bien: mantenla"))))))))</f>
        <v>Dale visibilidad entre tus socios</v>
      </c>
      <c r="T39">
        <f t="shared" si="11"/>
        <v>0.61111451111111104</v>
      </c>
      <c r="U39">
        <f t="shared" si="12"/>
        <v>12</v>
      </c>
      <c r="V39">
        <f t="shared" si="13"/>
        <v>7.333333333333333</v>
      </c>
      <c r="W39" t="str">
        <f>IF($B39="","",Clases!L39)</f>
        <v>Tarde-noche</v>
      </c>
      <c r="X39">
        <f>N(Clases!U39)</f>
        <v>5</v>
      </c>
    </row>
    <row r="40" spans="2:24" ht="18" customHeight="1" x14ac:dyDescent="0.2">
      <c r="B40" s="57">
        <f>IF(Clases!$B40="","",Clases!$B40)</f>
        <v>35</v>
      </c>
      <c r="C40" s="60" t="str">
        <f>IF($B40="","",Clases!C40)</f>
        <v>Sábado</v>
      </c>
      <c r="D40" s="59">
        <f>IF($B40="","",Clases!D40)</f>
        <v>0.41666666666666669</v>
      </c>
      <c r="E40" s="60" t="str">
        <f>IF($B40="","",Clases!E40)</f>
        <v>Open box</v>
      </c>
      <c r="F40" s="60" t="str">
        <f>IF($B40="","",Clases!F40)</f>
        <v>Box</v>
      </c>
      <c r="G40" s="60" t="str">
        <f>IF($B40="","",IF(Clases!G40="","—",Clases!G40))</f>
        <v>Javi</v>
      </c>
      <c r="H40" s="32">
        <f>IF($B40="","",Clases!I40)</f>
        <v>16</v>
      </c>
      <c r="I40" s="32">
        <f>IF($B40="","",COUNT(Asistencia!H43:S43))</f>
        <v>11</v>
      </c>
      <c r="J40" s="37">
        <f>IF($B40="","",IF(I40=0,"",AVERAGE(Asistencia!H43:S43)))</f>
        <v>10.636363636363637</v>
      </c>
      <c r="K40" s="80">
        <f t="shared" si="7"/>
        <v>0.66477272727272729</v>
      </c>
      <c r="L40" s="37">
        <f t="shared" si="8"/>
        <v>5.3636363636363633</v>
      </c>
      <c r="M40" s="37">
        <f>IF(J40="","",IFERROR(AVERAGEIFS(Asistencia!H43:S43,Asistencia!$H$5:$S$5,"&lt;=4"),""))</f>
        <v>9.6666666666666661</v>
      </c>
      <c r="N40" s="37">
        <f>IF(OR(J40="",Asistencia!$T$4&lt;8),"",IFERROR(AVERAGEIFS(Asistencia!H43:S43,Asistencia!$H$5:$S$5,"&gt;="&amp;(Asistencia!$T$4-3),Asistencia!$H$5:$S$5,"&lt;="&amp;Asistencia!$T$4),""))</f>
        <v>10.5</v>
      </c>
      <c r="O40" s="81">
        <f t="shared" si="9"/>
        <v>8.6206896551724199E-2</v>
      </c>
      <c r="P40" s="61">
        <f>IF(J40="","",J40*Configuración!$C$15)</f>
        <v>73.27272727272728</v>
      </c>
      <c r="Q40" s="61">
        <f>IF($B40="","",IF(Clases!M40="",0,Clases!M40))</f>
        <v>30</v>
      </c>
      <c r="R40" s="82">
        <f t="shared" si="10"/>
        <v>43.27272727272728</v>
      </c>
      <c r="S40" s="60" t="str">
        <f>IF($B40="","",IF(J40="","Apunta la asistencia",IF(K40="","Faltan las plazas de la clase",IF(K40&gt;=Configuración!$C$20,"Casi llena: abre otra sesión",IF(K40&lt;Configuración!$C$18,"Revisa horario o formato",IF(R40&lt;0,"No cubre el coste del monitor",IF(AND(ISNUMBER(O40),N(O40)&lt;=Configuración!$C$21),"Va a menos: pregunta por qué",IF(K40&lt;Configuración!$C$19,"Dale visibilidad entre tus socios","Va bien: mantenla"))))))))</f>
        <v>Va bien: mantenla</v>
      </c>
      <c r="T40">
        <f t="shared" si="11"/>
        <v>0.66477622727272734</v>
      </c>
      <c r="U40">
        <f t="shared" si="12"/>
        <v>16</v>
      </c>
      <c r="V40">
        <f t="shared" si="13"/>
        <v>10.636363636363637</v>
      </c>
      <c r="W40" t="str">
        <f>IF($B40="","",Clases!L40)</f>
        <v>Mañana</v>
      </c>
      <c r="X40">
        <f>N(Clases!U40)</f>
        <v>7</v>
      </c>
    </row>
    <row r="41" spans="2:24" ht="18" customHeight="1" x14ac:dyDescent="0.2">
      <c r="B41" s="83">
        <f>IF(Clases!$B41="","",Clases!$B41)</f>
        <v>36</v>
      </c>
      <c r="C41" s="84" t="str">
        <f>IF($B41="","",Clases!C41)</f>
        <v>Sábado</v>
      </c>
      <c r="D41" s="85">
        <f>IF($B41="","",Clases!D41)</f>
        <v>0.4375</v>
      </c>
      <c r="E41" s="84" t="str">
        <f>IF($B41="","",Clases!E41)</f>
        <v>Yoga</v>
      </c>
      <c r="F41" s="84" t="str">
        <f>IF($B41="","",Clases!F41)</f>
        <v>Estudio</v>
      </c>
      <c r="G41" s="84" t="str">
        <f>IF($B41="","",IF(Clases!G41="","—",Clases!G41))</f>
        <v>Lucía</v>
      </c>
      <c r="H41" s="86">
        <f>IF($B41="","",Clases!I41)</f>
        <v>12</v>
      </c>
      <c r="I41" s="86">
        <f>IF($B41="","",COUNT(Asistencia!H44:S44))</f>
        <v>11</v>
      </c>
      <c r="J41" s="87">
        <f>IF($B41="","",IF(I41=0,"",AVERAGE(Asistencia!H44:S44)))</f>
        <v>6.5454545454545459</v>
      </c>
      <c r="K41" s="88">
        <f t="shared" si="7"/>
        <v>0.54545454545454553</v>
      </c>
      <c r="L41" s="87">
        <f t="shared" si="8"/>
        <v>5.4545454545454541</v>
      </c>
      <c r="M41" s="87">
        <f>IF(J41="","",IFERROR(AVERAGEIFS(Asistencia!H44:S44,Asistencia!$H$5:$S$5,"&lt;=4"),""))</f>
        <v>6.333333333333333</v>
      </c>
      <c r="N41" s="87">
        <f>IF(OR(J41="",Asistencia!$T$4&lt;8),"",IFERROR(AVERAGEIFS(Asistencia!H44:S44,Asistencia!$H$5:$S$5,"&gt;="&amp;(Asistencia!$T$4-3),Asistencia!$H$5:$S$5,"&lt;="&amp;Asistencia!$T$4),""))</f>
        <v>7</v>
      </c>
      <c r="O41" s="89">
        <f t="shared" si="9"/>
        <v>0.10526315789473695</v>
      </c>
      <c r="P41" s="90">
        <f>IF(J41="","",J41*Configuración!$C$15)</f>
        <v>45.090909090909093</v>
      </c>
      <c r="Q41" s="90">
        <f>IF($B41="","",IF(Clases!M41="",0,Clases!M41))</f>
        <v>17</v>
      </c>
      <c r="R41" s="91">
        <f t="shared" si="10"/>
        <v>28.090909090909093</v>
      </c>
      <c r="S41" s="84" t="str">
        <f>IF($B41="","",IF(J41="","Apunta la asistencia",IF(K41="","Faltan las plazas de la clase",IF(K41&gt;=Configuración!$C$20,"Casi llena: abre otra sesión",IF(K41&lt;Configuración!$C$18,"Revisa horario o formato",IF(R41&lt;0,"No cubre el coste del monitor",IF(AND(ISNUMBER(O41),N(O41)&lt;=Configuración!$C$21),"Va a menos: pregunta por qué",IF(K41&lt;Configuración!$C$19,"Dale visibilidad entre tus socios","Va bien: mantenla"))))))))</f>
        <v>Dale visibilidad entre tus socios</v>
      </c>
      <c r="T41">
        <f t="shared" si="11"/>
        <v>0.54545814545454552</v>
      </c>
      <c r="U41">
        <f t="shared" si="12"/>
        <v>12</v>
      </c>
      <c r="V41">
        <f t="shared" si="13"/>
        <v>6.5454545454545459</v>
      </c>
      <c r="W41" t="str">
        <f>IF($B41="","",Clases!L41)</f>
        <v>Mañana</v>
      </c>
      <c r="X41">
        <f>N(Clases!U41)</f>
        <v>4</v>
      </c>
    </row>
    <row r="42" spans="2:24" ht="18" customHeight="1" x14ac:dyDescent="0.2">
      <c r="B42" s="57">
        <f>IF(Clases!$B42="","",Clases!$B42)</f>
        <v>37</v>
      </c>
      <c r="C42" s="60" t="str">
        <f>IF($B42="","",Clases!C42)</f>
        <v>Domingo</v>
      </c>
      <c r="D42" s="59">
        <f>IF($B42="","",Clases!D42)</f>
        <v>0.4375</v>
      </c>
      <c r="E42" s="60" t="str">
        <f>IF($B42="","",Clases!E42)</f>
        <v>Movilidad</v>
      </c>
      <c r="F42" s="60" t="str">
        <f>IF($B42="","",Clases!F42)</f>
        <v>Estudio</v>
      </c>
      <c r="G42" s="60" t="str">
        <f>IF($B42="","",IF(Clases!G42="","—",Clases!G42))</f>
        <v>Lucía</v>
      </c>
      <c r="H42" s="32">
        <f>IF($B42="","",Clases!I42)</f>
        <v>12</v>
      </c>
      <c r="I42" s="32">
        <f>IF($B42="","",COUNT(Asistencia!H45:S45))</f>
        <v>11</v>
      </c>
      <c r="J42" s="37">
        <f>IF($B42="","",IF(I42=0,"",AVERAGE(Asistencia!H45:S45)))</f>
        <v>4.4545454545454541</v>
      </c>
      <c r="K42" s="80">
        <f t="shared" si="7"/>
        <v>0.37121212121212116</v>
      </c>
      <c r="L42" s="37">
        <f t="shared" si="8"/>
        <v>7.5454545454545459</v>
      </c>
      <c r="M42" s="37">
        <f>IF(J42="","",IFERROR(AVERAGEIFS(Asistencia!H45:S45,Asistencia!$H$5:$S$5,"&lt;=4"),""))</f>
        <v>4.5</v>
      </c>
      <c r="N42" s="37">
        <f>IF(OR(J42="",Asistencia!$T$4&lt;8),"",IFERROR(AVERAGEIFS(Asistencia!H45:S45,Asistencia!$H$5:$S$5,"&gt;="&amp;(Asistencia!$T$4-3),Asistencia!$H$5:$S$5,"&lt;="&amp;Asistencia!$T$4),""))</f>
        <v>4.333333333333333</v>
      </c>
      <c r="O42" s="81">
        <f t="shared" si="9"/>
        <v>-3.703703703703709E-2</v>
      </c>
      <c r="P42" s="61">
        <f>IF(J42="","",J42*Configuración!$C$15)</f>
        <v>30.686868686868685</v>
      </c>
      <c r="Q42" s="61">
        <f>IF($B42="","",IF(Clases!M42="",0,Clases!M42))</f>
        <v>12.75</v>
      </c>
      <c r="R42" s="82">
        <f t="shared" si="10"/>
        <v>17.936868686868685</v>
      </c>
      <c r="S42" s="60" t="str">
        <f>IF($B42="","",IF(J42="","Apunta la asistencia",IF(K42="","Faltan las plazas de la clase",IF(K42&gt;=Configuración!$C$20,"Casi llena: abre otra sesión",IF(K42&lt;Configuración!$C$18,"Revisa horario o formato",IF(R42&lt;0,"No cubre el coste del monitor",IF(AND(ISNUMBER(O42),N(O42)&lt;=Configuración!$C$21),"Va a menos: pregunta por qué",IF(K42&lt;Configuración!$C$19,"Dale visibilidad entre tus socios","Va bien: mantenla"))))))))</f>
        <v>Revisa horario o formato</v>
      </c>
      <c r="T42">
        <f t="shared" si="11"/>
        <v>0.37121582121212116</v>
      </c>
      <c r="U42">
        <f t="shared" si="12"/>
        <v>12</v>
      </c>
      <c r="V42">
        <f t="shared" si="13"/>
        <v>4.4545454545454541</v>
      </c>
      <c r="W42" t="str">
        <f>IF($B42="","",Clases!L42)</f>
        <v>Mañana</v>
      </c>
      <c r="X42">
        <f>N(Clases!U42)</f>
        <v>6</v>
      </c>
    </row>
    <row r="43" spans="2:24" ht="18" customHeight="1" x14ac:dyDescent="0.2">
      <c r="B43" s="83" t="str">
        <f>IF(Clases!$B43="","",Clases!$B43)</f>
        <v/>
      </c>
      <c r="C43" s="84" t="str">
        <f>IF($B43="","",Clases!C43)</f>
        <v/>
      </c>
      <c r="D43" s="85" t="str">
        <f>IF($B43="","",Clases!D43)</f>
        <v/>
      </c>
      <c r="E43" s="84" t="str">
        <f>IF($B43="","",Clases!E43)</f>
        <v/>
      </c>
      <c r="F43" s="84" t="str">
        <f>IF($B43="","",Clases!F43)</f>
        <v/>
      </c>
      <c r="G43" s="84" t="str">
        <f>IF($B43="","",IF(Clases!G43="","—",Clases!G43))</f>
        <v/>
      </c>
      <c r="H43" s="86" t="str">
        <f>IF($B43="","",Clases!I43)</f>
        <v/>
      </c>
      <c r="I43" s="86" t="str">
        <f>IF($B43="","",COUNT(Asistencia!H46:S46))</f>
        <v/>
      </c>
      <c r="J43" s="87" t="str">
        <f>IF($B43="","",IF(I43=0,"",AVERAGE(Asistencia!H46:S46)))</f>
        <v/>
      </c>
      <c r="K43" s="88" t="str">
        <f t="shared" si="7"/>
        <v/>
      </c>
      <c r="L43" s="87" t="str">
        <f t="shared" si="8"/>
        <v/>
      </c>
      <c r="M43" s="87" t="str">
        <f>IF(J43="","",IFERROR(AVERAGEIFS(Asistencia!H46:S46,Asistencia!$H$5:$S$5,"&lt;=4"),""))</f>
        <v/>
      </c>
      <c r="N43" s="87" t="str">
        <f>IF(OR(J43="",Asistencia!$T$4&lt;8),"",IFERROR(AVERAGEIFS(Asistencia!H46:S46,Asistencia!$H$5:$S$5,"&gt;="&amp;(Asistencia!$T$4-3),Asistencia!$H$5:$S$5,"&lt;="&amp;Asistencia!$T$4),""))</f>
        <v/>
      </c>
      <c r="O43" s="89" t="str">
        <f t="shared" si="9"/>
        <v/>
      </c>
      <c r="P43" s="90" t="str">
        <f>IF(J43="","",J43*Configuración!$C$15)</f>
        <v/>
      </c>
      <c r="Q43" s="90" t="str">
        <f>IF($B43="","",IF(Clases!M43="",0,Clases!M43))</f>
        <v/>
      </c>
      <c r="R43" s="91" t="str">
        <f t="shared" si="10"/>
        <v/>
      </c>
      <c r="S43" s="84" t="str">
        <f>IF($B43="","",IF(J43="","Apunta la asistencia",IF(K43="","Faltan las plazas de la clase",IF(K43&gt;=Configuración!$C$20,"Casi llena: abre otra sesión",IF(K43&lt;Configuración!$C$18,"Revisa horario o formato",IF(R43&lt;0,"No cubre el coste del monitor",IF(AND(ISNUMBER(O43),N(O43)&lt;=Configuración!$C$21),"Va a menos: pregunta por qué",IF(K43&lt;Configuración!$C$19,"Dale visibilidad entre tus socios","Va bien: mantenla"))))))))</f>
        <v/>
      </c>
      <c r="T43" t="str">
        <f t="shared" si="11"/>
        <v/>
      </c>
      <c r="U43">
        <f t="shared" si="12"/>
        <v>0</v>
      </c>
      <c r="V43">
        <f t="shared" si="13"/>
        <v>0</v>
      </c>
      <c r="W43" t="str">
        <f>IF($B43="","",Clases!L43)</f>
        <v/>
      </c>
      <c r="X43">
        <f>N(Clases!U43)</f>
        <v>0</v>
      </c>
    </row>
    <row r="44" spans="2:24" ht="18" customHeight="1" x14ac:dyDescent="0.2">
      <c r="B44" s="57" t="str">
        <f>IF(Clases!$B44="","",Clases!$B44)</f>
        <v/>
      </c>
      <c r="C44" s="60" t="str">
        <f>IF($B44="","",Clases!C44)</f>
        <v/>
      </c>
      <c r="D44" s="59" t="str">
        <f>IF($B44="","",Clases!D44)</f>
        <v/>
      </c>
      <c r="E44" s="60" t="str">
        <f>IF($B44="","",Clases!E44)</f>
        <v/>
      </c>
      <c r="F44" s="60" t="str">
        <f>IF($B44="","",Clases!F44)</f>
        <v/>
      </c>
      <c r="G44" s="60" t="str">
        <f>IF($B44="","",IF(Clases!G44="","—",Clases!G44))</f>
        <v/>
      </c>
      <c r="H44" s="32" t="str">
        <f>IF($B44="","",Clases!I44)</f>
        <v/>
      </c>
      <c r="I44" s="32" t="str">
        <f>IF($B44="","",COUNT(Asistencia!H47:S47))</f>
        <v/>
      </c>
      <c r="J44" s="37" t="str">
        <f>IF($B44="","",IF(I44=0,"",AVERAGE(Asistencia!H47:S47)))</f>
        <v/>
      </c>
      <c r="K44" s="80" t="str">
        <f t="shared" si="7"/>
        <v/>
      </c>
      <c r="L44" s="37" t="str">
        <f t="shared" si="8"/>
        <v/>
      </c>
      <c r="M44" s="37" t="str">
        <f>IF(J44="","",IFERROR(AVERAGEIFS(Asistencia!H47:S47,Asistencia!$H$5:$S$5,"&lt;=4"),""))</f>
        <v/>
      </c>
      <c r="N44" s="37" t="str">
        <f>IF(OR(J44="",Asistencia!$T$4&lt;8),"",IFERROR(AVERAGEIFS(Asistencia!H47:S47,Asistencia!$H$5:$S$5,"&gt;="&amp;(Asistencia!$T$4-3),Asistencia!$H$5:$S$5,"&lt;="&amp;Asistencia!$T$4),""))</f>
        <v/>
      </c>
      <c r="O44" s="81" t="str">
        <f t="shared" si="9"/>
        <v/>
      </c>
      <c r="P44" s="61" t="str">
        <f>IF(J44="","",J44*Configuración!$C$15)</f>
        <v/>
      </c>
      <c r="Q44" s="61" t="str">
        <f>IF($B44="","",IF(Clases!M44="",0,Clases!M44))</f>
        <v/>
      </c>
      <c r="R44" s="82" t="str">
        <f t="shared" si="10"/>
        <v/>
      </c>
      <c r="S44" s="60" t="str">
        <f>IF($B44="","",IF(J44="","Apunta la asistencia",IF(K44="","Faltan las plazas de la clase",IF(K44&gt;=Configuración!$C$20,"Casi llena: abre otra sesión",IF(K44&lt;Configuración!$C$18,"Revisa horario o formato",IF(R44&lt;0,"No cubre el coste del monitor",IF(AND(ISNUMBER(O44),N(O44)&lt;=Configuración!$C$21),"Va a menos: pregunta por qué",IF(K44&lt;Configuración!$C$19,"Dale visibilidad entre tus socios","Va bien: mantenla"))))))))</f>
        <v/>
      </c>
      <c r="T44" t="str">
        <f t="shared" si="11"/>
        <v/>
      </c>
      <c r="U44">
        <f t="shared" si="12"/>
        <v>0</v>
      </c>
      <c r="V44">
        <f t="shared" si="13"/>
        <v>0</v>
      </c>
      <c r="W44" t="str">
        <f>IF($B44="","",Clases!L44)</f>
        <v/>
      </c>
      <c r="X44">
        <f>N(Clases!U44)</f>
        <v>0</v>
      </c>
    </row>
    <row r="45" spans="2:24" ht="18" customHeight="1" x14ac:dyDescent="0.2">
      <c r="B45" s="83" t="str">
        <f>IF(Clases!$B45="","",Clases!$B45)</f>
        <v/>
      </c>
      <c r="C45" s="84" t="str">
        <f>IF($B45="","",Clases!C45)</f>
        <v/>
      </c>
      <c r="D45" s="85" t="str">
        <f>IF($B45="","",Clases!D45)</f>
        <v/>
      </c>
      <c r="E45" s="84" t="str">
        <f>IF($B45="","",Clases!E45)</f>
        <v/>
      </c>
      <c r="F45" s="84" t="str">
        <f>IF($B45="","",Clases!F45)</f>
        <v/>
      </c>
      <c r="G45" s="84" t="str">
        <f>IF($B45="","",IF(Clases!G45="","—",Clases!G45))</f>
        <v/>
      </c>
      <c r="H45" s="86" t="str">
        <f>IF($B45="","",Clases!I45)</f>
        <v/>
      </c>
      <c r="I45" s="86" t="str">
        <f>IF($B45="","",COUNT(Asistencia!H48:S48))</f>
        <v/>
      </c>
      <c r="J45" s="87" t="str">
        <f>IF($B45="","",IF(I45=0,"",AVERAGE(Asistencia!H48:S48)))</f>
        <v/>
      </c>
      <c r="K45" s="88" t="str">
        <f t="shared" si="7"/>
        <v/>
      </c>
      <c r="L45" s="87" t="str">
        <f t="shared" si="8"/>
        <v/>
      </c>
      <c r="M45" s="87" t="str">
        <f>IF(J45="","",IFERROR(AVERAGEIFS(Asistencia!H48:S48,Asistencia!$H$5:$S$5,"&lt;=4"),""))</f>
        <v/>
      </c>
      <c r="N45" s="87" t="str">
        <f>IF(OR(J45="",Asistencia!$T$4&lt;8),"",IFERROR(AVERAGEIFS(Asistencia!H48:S48,Asistencia!$H$5:$S$5,"&gt;="&amp;(Asistencia!$T$4-3),Asistencia!$H$5:$S$5,"&lt;="&amp;Asistencia!$T$4),""))</f>
        <v/>
      </c>
      <c r="O45" s="89" t="str">
        <f t="shared" si="9"/>
        <v/>
      </c>
      <c r="P45" s="90" t="str">
        <f>IF(J45="","",J45*Configuración!$C$15)</f>
        <v/>
      </c>
      <c r="Q45" s="90" t="str">
        <f>IF($B45="","",IF(Clases!M45="",0,Clases!M45))</f>
        <v/>
      </c>
      <c r="R45" s="91" t="str">
        <f t="shared" si="10"/>
        <v/>
      </c>
      <c r="S45" s="84" t="str">
        <f>IF($B45="","",IF(J45="","Apunta la asistencia",IF(K45="","Faltan las plazas de la clase",IF(K45&gt;=Configuración!$C$20,"Casi llena: abre otra sesión",IF(K45&lt;Configuración!$C$18,"Revisa horario o formato",IF(R45&lt;0,"No cubre el coste del monitor",IF(AND(ISNUMBER(O45),N(O45)&lt;=Configuración!$C$21),"Va a menos: pregunta por qué",IF(K45&lt;Configuración!$C$19,"Dale visibilidad entre tus socios","Va bien: mantenla"))))))))</f>
        <v/>
      </c>
      <c r="T45" t="str">
        <f t="shared" si="11"/>
        <v/>
      </c>
      <c r="U45">
        <f t="shared" si="12"/>
        <v>0</v>
      </c>
      <c r="V45">
        <f t="shared" si="13"/>
        <v>0</v>
      </c>
      <c r="W45" t="str">
        <f>IF($B45="","",Clases!L45)</f>
        <v/>
      </c>
      <c r="X45">
        <f>N(Clases!U45)</f>
        <v>0</v>
      </c>
    </row>
    <row r="46" spans="2:24" ht="18" customHeight="1" x14ac:dyDescent="0.2">
      <c r="B46" s="57" t="str">
        <f>IF(Clases!$B46="","",Clases!$B46)</f>
        <v/>
      </c>
      <c r="C46" s="60" t="str">
        <f>IF($B46="","",Clases!C46)</f>
        <v/>
      </c>
      <c r="D46" s="59" t="str">
        <f>IF($B46="","",Clases!D46)</f>
        <v/>
      </c>
      <c r="E46" s="60" t="str">
        <f>IF($B46="","",Clases!E46)</f>
        <v/>
      </c>
      <c r="F46" s="60" t="str">
        <f>IF($B46="","",Clases!F46)</f>
        <v/>
      </c>
      <c r="G46" s="60" t="str">
        <f>IF($B46="","",IF(Clases!G46="","—",Clases!G46))</f>
        <v/>
      </c>
      <c r="H46" s="32" t="str">
        <f>IF($B46="","",Clases!I46)</f>
        <v/>
      </c>
      <c r="I46" s="32" t="str">
        <f>IF($B46="","",COUNT(Asistencia!H49:S49))</f>
        <v/>
      </c>
      <c r="J46" s="37" t="str">
        <f>IF($B46="","",IF(I46=0,"",AVERAGE(Asistencia!H49:S49)))</f>
        <v/>
      </c>
      <c r="K46" s="80" t="str">
        <f t="shared" si="7"/>
        <v/>
      </c>
      <c r="L46" s="37" t="str">
        <f t="shared" si="8"/>
        <v/>
      </c>
      <c r="M46" s="37" t="str">
        <f>IF(J46="","",IFERROR(AVERAGEIFS(Asistencia!H49:S49,Asistencia!$H$5:$S$5,"&lt;=4"),""))</f>
        <v/>
      </c>
      <c r="N46" s="37" t="str">
        <f>IF(OR(J46="",Asistencia!$T$4&lt;8),"",IFERROR(AVERAGEIFS(Asistencia!H49:S49,Asistencia!$H$5:$S$5,"&gt;="&amp;(Asistencia!$T$4-3),Asistencia!$H$5:$S$5,"&lt;="&amp;Asistencia!$T$4),""))</f>
        <v/>
      </c>
      <c r="O46" s="81" t="str">
        <f t="shared" si="9"/>
        <v/>
      </c>
      <c r="P46" s="61" t="str">
        <f>IF(J46="","",J46*Configuración!$C$15)</f>
        <v/>
      </c>
      <c r="Q46" s="61" t="str">
        <f>IF($B46="","",IF(Clases!M46="",0,Clases!M46))</f>
        <v/>
      </c>
      <c r="R46" s="82" t="str">
        <f t="shared" si="10"/>
        <v/>
      </c>
      <c r="S46" s="60" t="str">
        <f>IF($B46="","",IF(J46="","Apunta la asistencia",IF(K46="","Faltan las plazas de la clase",IF(K46&gt;=Configuración!$C$20,"Casi llena: abre otra sesión",IF(K46&lt;Configuración!$C$18,"Revisa horario o formato",IF(R46&lt;0,"No cubre el coste del monitor",IF(AND(ISNUMBER(O46),N(O46)&lt;=Configuración!$C$21),"Va a menos: pregunta por qué",IF(K46&lt;Configuración!$C$19,"Dale visibilidad entre tus socios","Va bien: mantenla"))))))))</f>
        <v/>
      </c>
      <c r="T46" t="str">
        <f t="shared" si="11"/>
        <v/>
      </c>
      <c r="U46">
        <f t="shared" si="12"/>
        <v>0</v>
      </c>
      <c r="V46">
        <f t="shared" si="13"/>
        <v>0</v>
      </c>
      <c r="W46" t="str">
        <f>IF($B46="","",Clases!L46)</f>
        <v/>
      </c>
      <c r="X46">
        <f>N(Clases!U46)</f>
        <v>0</v>
      </c>
    </row>
    <row r="47" spans="2:24" ht="18" customHeight="1" x14ac:dyDescent="0.2">
      <c r="B47" s="83" t="str">
        <f>IF(Clases!$B47="","",Clases!$B47)</f>
        <v/>
      </c>
      <c r="C47" s="84" t="str">
        <f>IF($B47="","",Clases!C47)</f>
        <v/>
      </c>
      <c r="D47" s="85" t="str">
        <f>IF($B47="","",Clases!D47)</f>
        <v/>
      </c>
      <c r="E47" s="84" t="str">
        <f>IF($B47="","",Clases!E47)</f>
        <v/>
      </c>
      <c r="F47" s="84" t="str">
        <f>IF($B47="","",Clases!F47)</f>
        <v/>
      </c>
      <c r="G47" s="84" t="str">
        <f>IF($B47="","",IF(Clases!G47="","—",Clases!G47))</f>
        <v/>
      </c>
      <c r="H47" s="86" t="str">
        <f>IF($B47="","",Clases!I47)</f>
        <v/>
      </c>
      <c r="I47" s="86" t="str">
        <f>IF($B47="","",COUNT(Asistencia!H50:S50))</f>
        <v/>
      </c>
      <c r="J47" s="87" t="str">
        <f>IF($B47="","",IF(I47=0,"",AVERAGE(Asistencia!H50:S50)))</f>
        <v/>
      </c>
      <c r="K47" s="88" t="str">
        <f t="shared" si="7"/>
        <v/>
      </c>
      <c r="L47" s="87" t="str">
        <f t="shared" si="8"/>
        <v/>
      </c>
      <c r="M47" s="87" t="str">
        <f>IF(J47="","",IFERROR(AVERAGEIFS(Asistencia!H50:S50,Asistencia!$H$5:$S$5,"&lt;=4"),""))</f>
        <v/>
      </c>
      <c r="N47" s="87" t="str">
        <f>IF(OR(J47="",Asistencia!$T$4&lt;8),"",IFERROR(AVERAGEIFS(Asistencia!H50:S50,Asistencia!$H$5:$S$5,"&gt;="&amp;(Asistencia!$T$4-3),Asistencia!$H$5:$S$5,"&lt;="&amp;Asistencia!$T$4),""))</f>
        <v/>
      </c>
      <c r="O47" s="89" t="str">
        <f t="shared" si="9"/>
        <v/>
      </c>
      <c r="P47" s="90" t="str">
        <f>IF(J47="","",J47*Configuración!$C$15)</f>
        <v/>
      </c>
      <c r="Q47" s="90" t="str">
        <f>IF($B47="","",IF(Clases!M47="",0,Clases!M47))</f>
        <v/>
      </c>
      <c r="R47" s="91" t="str">
        <f t="shared" si="10"/>
        <v/>
      </c>
      <c r="S47" s="84" t="str">
        <f>IF($B47="","",IF(J47="","Apunta la asistencia",IF(K47="","Faltan las plazas de la clase",IF(K47&gt;=Configuración!$C$20,"Casi llena: abre otra sesión",IF(K47&lt;Configuración!$C$18,"Revisa horario o formato",IF(R47&lt;0,"No cubre el coste del monitor",IF(AND(ISNUMBER(O47),N(O47)&lt;=Configuración!$C$21),"Va a menos: pregunta por qué",IF(K47&lt;Configuración!$C$19,"Dale visibilidad entre tus socios","Va bien: mantenla"))))))))</f>
        <v/>
      </c>
      <c r="T47" t="str">
        <f t="shared" si="11"/>
        <v/>
      </c>
      <c r="U47">
        <f t="shared" si="12"/>
        <v>0</v>
      </c>
      <c r="V47">
        <f t="shared" si="13"/>
        <v>0</v>
      </c>
      <c r="W47" t="str">
        <f>IF($B47="","",Clases!L47)</f>
        <v/>
      </c>
      <c r="X47">
        <f>N(Clases!U47)</f>
        <v>0</v>
      </c>
    </row>
    <row r="48" spans="2:24" ht="18" customHeight="1" x14ac:dyDescent="0.2">
      <c r="B48" s="57" t="str">
        <f>IF(Clases!$B48="","",Clases!$B48)</f>
        <v/>
      </c>
      <c r="C48" s="60" t="str">
        <f>IF($B48="","",Clases!C48)</f>
        <v/>
      </c>
      <c r="D48" s="59" t="str">
        <f>IF($B48="","",Clases!D48)</f>
        <v/>
      </c>
      <c r="E48" s="60" t="str">
        <f>IF($B48="","",Clases!E48)</f>
        <v/>
      </c>
      <c r="F48" s="60" t="str">
        <f>IF($B48="","",Clases!F48)</f>
        <v/>
      </c>
      <c r="G48" s="60" t="str">
        <f>IF($B48="","",IF(Clases!G48="","—",Clases!G48))</f>
        <v/>
      </c>
      <c r="H48" s="32" t="str">
        <f>IF($B48="","",Clases!I48)</f>
        <v/>
      </c>
      <c r="I48" s="32" t="str">
        <f>IF($B48="","",COUNT(Asistencia!H51:S51))</f>
        <v/>
      </c>
      <c r="J48" s="37" t="str">
        <f>IF($B48="","",IF(I48=0,"",AVERAGE(Asistencia!H51:S51)))</f>
        <v/>
      </c>
      <c r="K48" s="80" t="str">
        <f t="shared" si="7"/>
        <v/>
      </c>
      <c r="L48" s="37" t="str">
        <f t="shared" si="8"/>
        <v/>
      </c>
      <c r="M48" s="37" t="str">
        <f>IF(J48="","",IFERROR(AVERAGEIFS(Asistencia!H51:S51,Asistencia!$H$5:$S$5,"&lt;=4"),""))</f>
        <v/>
      </c>
      <c r="N48" s="37" t="str">
        <f>IF(OR(J48="",Asistencia!$T$4&lt;8),"",IFERROR(AVERAGEIFS(Asistencia!H51:S51,Asistencia!$H$5:$S$5,"&gt;="&amp;(Asistencia!$T$4-3),Asistencia!$H$5:$S$5,"&lt;="&amp;Asistencia!$T$4),""))</f>
        <v/>
      </c>
      <c r="O48" s="81" t="str">
        <f t="shared" si="9"/>
        <v/>
      </c>
      <c r="P48" s="61" t="str">
        <f>IF(J48="","",J48*Configuración!$C$15)</f>
        <v/>
      </c>
      <c r="Q48" s="61" t="str">
        <f>IF($B48="","",IF(Clases!M48="",0,Clases!M48))</f>
        <v/>
      </c>
      <c r="R48" s="82" t="str">
        <f t="shared" si="10"/>
        <v/>
      </c>
      <c r="S48" s="60" t="str">
        <f>IF($B48="","",IF(J48="","Apunta la asistencia",IF(K48="","Faltan las plazas de la clase",IF(K48&gt;=Configuración!$C$20,"Casi llena: abre otra sesión",IF(K48&lt;Configuración!$C$18,"Revisa horario o formato",IF(R48&lt;0,"No cubre el coste del monitor",IF(AND(ISNUMBER(O48),N(O48)&lt;=Configuración!$C$21),"Va a menos: pregunta por qué",IF(K48&lt;Configuración!$C$19,"Dale visibilidad entre tus socios","Va bien: mantenla"))))))))</f>
        <v/>
      </c>
      <c r="T48" t="str">
        <f t="shared" si="11"/>
        <v/>
      </c>
      <c r="U48">
        <f t="shared" si="12"/>
        <v>0</v>
      </c>
      <c r="V48">
        <f t="shared" si="13"/>
        <v>0</v>
      </c>
      <c r="W48" t="str">
        <f>IF($B48="","",Clases!L48)</f>
        <v/>
      </c>
      <c r="X48">
        <f>N(Clases!U48)</f>
        <v>0</v>
      </c>
    </row>
    <row r="49" spans="2:24" ht="18" customHeight="1" x14ac:dyDescent="0.2">
      <c r="B49" s="83" t="str">
        <f>IF(Clases!$B49="","",Clases!$B49)</f>
        <v/>
      </c>
      <c r="C49" s="84" t="str">
        <f>IF($B49="","",Clases!C49)</f>
        <v/>
      </c>
      <c r="D49" s="85" t="str">
        <f>IF($B49="","",Clases!D49)</f>
        <v/>
      </c>
      <c r="E49" s="84" t="str">
        <f>IF($B49="","",Clases!E49)</f>
        <v/>
      </c>
      <c r="F49" s="84" t="str">
        <f>IF($B49="","",Clases!F49)</f>
        <v/>
      </c>
      <c r="G49" s="84" t="str">
        <f>IF($B49="","",IF(Clases!G49="","—",Clases!G49))</f>
        <v/>
      </c>
      <c r="H49" s="86" t="str">
        <f>IF($B49="","",Clases!I49)</f>
        <v/>
      </c>
      <c r="I49" s="86" t="str">
        <f>IF($B49="","",COUNT(Asistencia!H52:S52))</f>
        <v/>
      </c>
      <c r="J49" s="87" t="str">
        <f>IF($B49="","",IF(I49=0,"",AVERAGE(Asistencia!H52:S52)))</f>
        <v/>
      </c>
      <c r="K49" s="88" t="str">
        <f t="shared" si="7"/>
        <v/>
      </c>
      <c r="L49" s="87" t="str">
        <f t="shared" si="8"/>
        <v/>
      </c>
      <c r="M49" s="87" t="str">
        <f>IF(J49="","",IFERROR(AVERAGEIFS(Asistencia!H52:S52,Asistencia!$H$5:$S$5,"&lt;=4"),""))</f>
        <v/>
      </c>
      <c r="N49" s="87" t="str">
        <f>IF(OR(J49="",Asistencia!$T$4&lt;8),"",IFERROR(AVERAGEIFS(Asistencia!H52:S52,Asistencia!$H$5:$S$5,"&gt;="&amp;(Asistencia!$T$4-3),Asistencia!$H$5:$S$5,"&lt;="&amp;Asistencia!$T$4),""))</f>
        <v/>
      </c>
      <c r="O49" s="89" t="str">
        <f t="shared" si="9"/>
        <v/>
      </c>
      <c r="P49" s="90" t="str">
        <f>IF(J49="","",J49*Configuración!$C$15)</f>
        <v/>
      </c>
      <c r="Q49" s="90" t="str">
        <f>IF($B49="","",IF(Clases!M49="",0,Clases!M49))</f>
        <v/>
      </c>
      <c r="R49" s="91" t="str">
        <f t="shared" si="10"/>
        <v/>
      </c>
      <c r="S49" s="84" t="str">
        <f>IF($B49="","",IF(J49="","Apunta la asistencia",IF(K49="","Faltan las plazas de la clase",IF(K49&gt;=Configuración!$C$20,"Casi llena: abre otra sesión",IF(K49&lt;Configuración!$C$18,"Revisa horario o formato",IF(R49&lt;0,"No cubre el coste del monitor",IF(AND(ISNUMBER(O49),N(O49)&lt;=Configuración!$C$21),"Va a menos: pregunta por qué",IF(K49&lt;Configuración!$C$19,"Dale visibilidad entre tus socios","Va bien: mantenla"))))))))</f>
        <v/>
      </c>
      <c r="T49" t="str">
        <f t="shared" si="11"/>
        <v/>
      </c>
      <c r="U49">
        <f t="shared" si="12"/>
        <v>0</v>
      </c>
      <c r="V49">
        <f t="shared" si="13"/>
        <v>0</v>
      </c>
      <c r="W49" t="str">
        <f>IF($B49="","",Clases!L49)</f>
        <v/>
      </c>
      <c r="X49">
        <f>N(Clases!U49)</f>
        <v>0</v>
      </c>
    </row>
    <row r="50" spans="2:24" ht="18" customHeight="1" x14ac:dyDescent="0.2">
      <c r="B50" s="57" t="str">
        <f>IF(Clases!$B50="","",Clases!$B50)</f>
        <v/>
      </c>
      <c r="C50" s="60" t="str">
        <f>IF($B50="","",Clases!C50)</f>
        <v/>
      </c>
      <c r="D50" s="59" t="str">
        <f>IF($B50="","",Clases!D50)</f>
        <v/>
      </c>
      <c r="E50" s="60" t="str">
        <f>IF($B50="","",Clases!E50)</f>
        <v/>
      </c>
      <c r="F50" s="60" t="str">
        <f>IF($B50="","",Clases!F50)</f>
        <v/>
      </c>
      <c r="G50" s="60" t="str">
        <f>IF($B50="","",IF(Clases!G50="","—",Clases!G50))</f>
        <v/>
      </c>
      <c r="H50" s="32" t="str">
        <f>IF($B50="","",Clases!I50)</f>
        <v/>
      </c>
      <c r="I50" s="32" t="str">
        <f>IF($B50="","",COUNT(Asistencia!H53:S53))</f>
        <v/>
      </c>
      <c r="J50" s="37" t="str">
        <f>IF($B50="","",IF(I50=0,"",AVERAGE(Asistencia!H53:S53)))</f>
        <v/>
      </c>
      <c r="K50" s="80" t="str">
        <f t="shared" si="7"/>
        <v/>
      </c>
      <c r="L50" s="37" t="str">
        <f t="shared" si="8"/>
        <v/>
      </c>
      <c r="M50" s="37" t="str">
        <f>IF(J50="","",IFERROR(AVERAGEIFS(Asistencia!H53:S53,Asistencia!$H$5:$S$5,"&lt;=4"),""))</f>
        <v/>
      </c>
      <c r="N50" s="37" t="str">
        <f>IF(OR(J50="",Asistencia!$T$4&lt;8),"",IFERROR(AVERAGEIFS(Asistencia!H53:S53,Asistencia!$H$5:$S$5,"&gt;="&amp;(Asistencia!$T$4-3),Asistencia!$H$5:$S$5,"&lt;="&amp;Asistencia!$T$4),""))</f>
        <v/>
      </c>
      <c r="O50" s="81" t="str">
        <f t="shared" si="9"/>
        <v/>
      </c>
      <c r="P50" s="61" t="str">
        <f>IF(J50="","",J50*Configuración!$C$15)</f>
        <v/>
      </c>
      <c r="Q50" s="61" t="str">
        <f>IF($B50="","",IF(Clases!M50="",0,Clases!M50))</f>
        <v/>
      </c>
      <c r="R50" s="82" t="str">
        <f t="shared" si="10"/>
        <v/>
      </c>
      <c r="S50" s="60" t="str">
        <f>IF($B50="","",IF(J50="","Apunta la asistencia",IF(K50="","Faltan las plazas de la clase",IF(K50&gt;=Configuración!$C$20,"Casi llena: abre otra sesión",IF(K50&lt;Configuración!$C$18,"Revisa horario o formato",IF(R50&lt;0,"No cubre el coste del monitor",IF(AND(ISNUMBER(O50),N(O50)&lt;=Configuración!$C$21),"Va a menos: pregunta por qué",IF(K50&lt;Configuración!$C$19,"Dale visibilidad entre tus socios","Va bien: mantenla"))))))))</f>
        <v/>
      </c>
      <c r="T50" t="str">
        <f t="shared" si="11"/>
        <v/>
      </c>
      <c r="U50">
        <f t="shared" si="12"/>
        <v>0</v>
      </c>
      <c r="V50">
        <f t="shared" si="13"/>
        <v>0</v>
      </c>
      <c r="W50" t="str">
        <f>IF($B50="","",Clases!L50)</f>
        <v/>
      </c>
      <c r="X50">
        <f>N(Clases!U50)</f>
        <v>0</v>
      </c>
    </row>
    <row r="51" spans="2:24" ht="18" customHeight="1" x14ac:dyDescent="0.2">
      <c r="B51" s="83" t="str">
        <f>IF(Clases!$B51="","",Clases!$B51)</f>
        <v/>
      </c>
      <c r="C51" s="84" t="str">
        <f>IF($B51="","",Clases!C51)</f>
        <v/>
      </c>
      <c r="D51" s="85" t="str">
        <f>IF($B51="","",Clases!D51)</f>
        <v/>
      </c>
      <c r="E51" s="84" t="str">
        <f>IF($B51="","",Clases!E51)</f>
        <v/>
      </c>
      <c r="F51" s="84" t="str">
        <f>IF($B51="","",Clases!F51)</f>
        <v/>
      </c>
      <c r="G51" s="84" t="str">
        <f>IF($B51="","",IF(Clases!G51="","—",Clases!G51))</f>
        <v/>
      </c>
      <c r="H51" s="86" t="str">
        <f>IF($B51="","",Clases!I51)</f>
        <v/>
      </c>
      <c r="I51" s="86" t="str">
        <f>IF($B51="","",COUNT(Asistencia!H54:S54))</f>
        <v/>
      </c>
      <c r="J51" s="87" t="str">
        <f>IF($B51="","",IF(I51=0,"",AVERAGE(Asistencia!H54:S54)))</f>
        <v/>
      </c>
      <c r="K51" s="88" t="str">
        <f t="shared" si="7"/>
        <v/>
      </c>
      <c r="L51" s="87" t="str">
        <f t="shared" si="8"/>
        <v/>
      </c>
      <c r="M51" s="87" t="str">
        <f>IF(J51="","",IFERROR(AVERAGEIFS(Asistencia!H54:S54,Asistencia!$H$5:$S$5,"&lt;=4"),""))</f>
        <v/>
      </c>
      <c r="N51" s="87" t="str">
        <f>IF(OR(J51="",Asistencia!$T$4&lt;8),"",IFERROR(AVERAGEIFS(Asistencia!H54:S54,Asistencia!$H$5:$S$5,"&gt;="&amp;(Asistencia!$T$4-3),Asistencia!$H$5:$S$5,"&lt;="&amp;Asistencia!$T$4),""))</f>
        <v/>
      </c>
      <c r="O51" s="89" t="str">
        <f t="shared" si="9"/>
        <v/>
      </c>
      <c r="P51" s="90" t="str">
        <f>IF(J51="","",J51*Configuración!$C$15)</f>
        <v/>
      </c>
      <c r="Q51" s="90" t="str">
        <f>IF($B51="","",IF(Clases!M51="",0,Clases!M51))</f>
        <v/>
      </c>
      <c r="R51" s="91" t="str">
        <f t="shared" si="10"/>
        <v/>
      </c>
      <c r="S51" s="84" t="str">
        <f>IF($B51="","",IF(J51="","Apunta la asistencia",IF(K51="","Faltan las plazas de la clase",IF(K51&gt;=Configuración!$C$20,"Casi llena: abre otra sesión",IF(K51&lt;Configuración!$C$18,"Revisa horario o formato",IF(R51&lt;0,"No cubre el coste del monitor",IF(AND(ISNUMBER(O51),N(O51)&lt;=Configuración!$C$21),"Va a menos: pregunta por qué",IF(K51&lt;Configuración!$C$19,"Dale visibilidad entre tus socios","Va bien: mantenla"))))))))</f>
        <v/>
      </c>
      <c r="T51" t="str">
        <f t="shared" si="11"/>
        <v/>
      </c>
      <c r="U51">
        <f t="shared" si="12"/>
        <v>0</v>
      </c>
      <c r="V51">
        <f t="shared" si="13"/>
        <v>0</v>
      </c>
      <c r="W51" t="str">
        <f>IF($B51="","",Clases!L51)</f>
        <v/>
      </c>
      <c r="X51">
        <f>N(Clases!U51)</f>
        <v>0</v>
      </c>
    </row>
    <row r="52" spans="2:24" ht="18" customHeight="1" x14ac:dyDescent="0.2">
      <c r="B52" s="57" t="str">
        <f>IF(Clases!$B52="","",Clases!$B52)</f>
        <v/>
      </c>
      <c r="C52" s="60" t="str">
        <f>IF($B52="","",Clases!C52)</f>
        <v/>
      </c>
      <c r="D52" s="59" t="str">
        <f>IF($B52="","",Clases!D52)</f>
        <v/>
      </c>
      <c r="E52" s="60" t="str">
        <f>IF($B52="","",Clases!E52)</f>
        <v/>
      </c>
      <c r="F52" s="60" t="str">
        <f>IF($B52="","",Clases!F52)</f>
        <v/>
      </c>
      <c r="G52" s="60" t="str">
        <f>IF($B52="","",IF(Clases!G52="","—",Clases!G52))</f>
        <v/>
      </c>
      <c r="H52" s="32" t="str">
        <f>IF($B52="","",Clases!I52)</f>
        <v/>
      </c>
      <c r="I52" s="32" t="str">
        <f>IF($B52="","",COUNT(Asistencia!H55:S55))</f>
        <v/>
      </c>
      <c r="J52" s="37" t="str">
        <f>IF($B52="","",IF(I52=0,"",AVERAGE(Asistencia!H55:S55)))</f>
        <v/>
      </c>
      <c r="K52" s="80" t="str">
        <f t="shared" si="7"/>
        <v/>
      </c>
      <c r="L52" s="37" t="str">
        <f t="shared" si="8"/>
        <v/>
      </c>
      <c r="M52" s="37" t="str">
        <f>IF(J52="","",IFERROR(AVERAGEIFS(Asistencia!H55:S55,Asistencia!$H$5:$S$5,"&lt;=4"),""))</f>
        <v/>
      </c>
      <c r="N52" s="37" t="str">
        <f>IF(OR(J52="",Asistencia!$T$4&lt;8),"",IFERROR(AVERAGEIFS(Asistencia!H55:S55,Asistencia!$H$5:$S$5,"&gt;="&amp;(Asistencia!$T$4-3),Asistencia!$H$5:$S$5,"&lt;="&amp;Asistencia!$T$4),""))</f>
        <v/>
      </c>
      <c r="O52" s="81" t="str">
        <f t="shared" si="9"/>
        <v/>
      </c>
      <c r="P52" s="61" t="str">
        <f>IF(J52="","",J52*Configuración!$C$15)</f>
        <v/>
      </c>
      <c r="Q52" s="61" t="str">
        <f>IF($B52="","",IF(Clases!M52="",0,Clases!M52))</f>
        <v/>
      </c>
      <c r="R52" s="82" t="str">
        <f t="shared" si="10"/>
        <v/>
      </c>
      <c r="S52" s="60" t="str">
        <f>IF($B52="","",IF(J52="","Apunta la asistencia",IF(K52="","Faltan las plazas de la clase",IF(K52&gt;=Configuración!$C$20,"Casi llena: abre otra sesión",IF(K52&lt;Configuración!$C$18,"Revisa horario o formato",IF(R52&lt;0,"No cubre el coste del monitor",IF(AND(ISNUMBER(O52),N(O52)&lt;=Configuración!$C$21),"Va a menos: pregunta por qué",IF(K52&lt;Configuración!$C$19,"Dale visibilidad entre tus socios","Va bien: mantenla"))))))))</f>
        <v/>
      </c>
      <c r="T52" t="str">
        <f t="shared" si="11"/>
        <v/>
      </c>
      <c r="U52">
        <f t="shared" si="12"/>
        <v>0</v>
      </c>
      <c r="V52">
        <f t="shared" si="13"/>
        <v>0</v>
      </c>
      <c r="W52" t="str">
        <f>IF($B52="","",Clases!L52)</f>
        <v/>
      </c>
      <c r="X52">
        <f>N(Clases!U52)</f>
        <v>0</v>
      </c>
    </row>
    <row r="53" spans="2:24" ht="18" customHeight="1" x14ac:dyDescent="0.2">
      <c r="B53" s="83" t="str">
        <f>IF(Clases!$B53="","",Clases!$B53)</f>
        <v/>
      </c>
      <c r="C53" s="84" t="str">
        <f>IF($B53="","",Clases!C53)</f>
        <v/>
      </c>
      <c r="D53" s="85" t="str">
        <f>IF($B53="","",Clases!D53)</f>
        <v/>
      </c>
      <c r="E53" s="84" t="str">
        <f>IF($B53="","",Clases!E53)</f>
        <v/>
      </c>
      <c r="F53" s="84" t="str">
        <f>IF($B53="","",Clases!F53)</f>
        <v/>
      </c>
      <c r="G53" s="84" t="str">
        <f>IF($B53="","",IF(Clases!G53="","—",Clases!G53))</f>
        <v/>
      </c>
      <c r="H53" s="86" t="str">
        <f>IF($B53="","",Clases!I53)</f>
        <v/>
      </c>
      <c r="I53" s="86" t="str">
        <f>IF($B53="","",COUNT(Asistencia!H56:S56))</f>
        <v/>
      </c>
      <c r="J53" s="87" t="str">
        <f>IF($B53="","",IF(I53=0,"",AVERAGE(Asistencia!H56:S56)))</f>
        <v/>
      </c>
      <c r="K53" s="88" t="str">
        <f t="shared" si="7"/>
        <v/>
      </c>
      <c r="L53" s="87" t="str">
        <f t="shared" si="8"/>
        <v/>
      </c>
      <c r="M53" s="87" t="str">
        <f>IF(J53="","",IFERROR(AVERAGEIFS(Asistencia!H56:S56,Asistencia!$H$5:$S$5,"&lt;=4"),""))</f>
        <v/>
      </c>
      <c r="N53" s="87" t="str">
        <f>IF(OR(J53="",Asistencia!$T$4&lt;8),"",IFERROR(AVERAGEIFS(Asistencia!H56:S56,Asistencia!$H$5:$S$5,"&gt;="&amp;(Asistencia!$T$4-3),Asistencia!$H$5:$S$5,"&lt;="&amp;Asistencia!$T$4),""))</f>
        <v/>
      </c>
      <c r="O53" s="89" t="str">
        <f t="shared" si="9"/>
        <v/>
      </c>
      <c r="P53" s="90" t="str">
        <f>IF(J53="","",J53*Configuración!$C$15)</f>
        <v/>
      </c>
      <c r="Q53" s="90" t="str">
        <f>IF($B53="","",IF(Clases!M53="",0,Clases!M53))</f>
        <v/>
      </c>
      <c r="R53" s="91" t="str">
        <f t="shared" si="10"/>
        <v/>
      </c>
      <c r="S53" s="84" t="str">
        <f>IF($B53="","",IF(J53="","Apunta la asistencia",IF(K53="","Faltan las plazas de la clase",IF(K53&gt;=Configuración!$C$20,"Casi llena: abre otra sesión",IF(K53&lt;Configuración!$C$18,"Revisa horario o formato",IF(R53&lt;0,"No cubre el coste del monitor",IF(AND(ISNUMBER(O53),N(O53)&lt;=Configuración!$C$21),"Va a menos: pregunta por qué",IF(K53&lt;Configuración!$C$19,"Dale visibilidad entre tus socios","Va bien: mantenla"))))))))</f>
        <v/>
      </c>
      <c r="T53" t="str">
        <f t="shared" si="11"/>
        <v/>
      </c>
      <c r="U53">
        <f t="shared" si="12"/>
        <v>0</v>
      </c>
      <c r="V53">
        <f t="shared" si="13"/>
        <v>0</v>
      </c>
      <c r="W53" t="str">
        <f>IF($B53="","",Clases!L53)</f>
        <v/>
      </c>
      <c r="X53">
        <f>N(Clases!U53)</f>
        <v>0</v>
      </c>
    </row>
    <row r="54" spans="2:24" ht="18" customHeight="1" x14ac:dyDescent="0.2">
      <c r="B54" s="57" t="str">
        <f>IF(Clases!$B54="","",Clases!$B54)</f>
        <v/>
      </c>
      <c r="C54" s="60" t="str">
        <f>IF($B54="","",Clases!C54)</f>
        <v/>
      </c>
      <c r="D54" s="59" t="str">
        <f>IF($B54="","",Clases!D54)</f>
        <v/>
      </c>
      <c r="E54" s="60" t="str">
        <f>IF($B54="","",Clases!E54)</f>
        <v/>
      </c>
      <c r="F54" s="60" t="str">
        <f>IF($B54="","",Clases!F54)</f>
        <v/>
      </c>
      <c r="G54" s="60" t="str">
        <f>IF($B54="","",IF(Clases!G54="","—",Clases!G54))</f>
        <v/>
      </c>
      <c r="H54" s="32" t="str">
        <f>IF($B54="","",Clases!I54)</f>
        <v/>
      </c>
      <c r="I54" s="32" t="str">
        <f>IF($B54="","",COUNT(Asistencia!H57:S57))</f>
        <v/>
      </c>
      <c r="J54" s="37" t="str">
        <f>IF($B54="","",IF(I54=0,"",AVERAGE(Asistencia!H57:S57)))</f>
        <v/>
      </c>
      <c r="K54" s="80" t="str">
        <f t="shared" si="7"/>
        <v/>
      </c>
      <c r="L54" s="37" t="str">
        <f t="shared" si="8"/>
        <v/>
      </c>
      <c r="M54" s="37" t="str">
        <f>IF(J54="","",IFERROR(AVERAGEIFS(Asistencia!H57:S57,Asistencia!$H$5:$S$5,"&lt;=4"),""))</f>
        <v/>
      </c>
      <c r="N54" s="37" t="str">
        <f>IF(OR(J54="",Asistencia!$T$4&lt;8),"",IFERROR(AVERAGEIFS(Asistencia!H57:S57,Asistencia!$H$5:$S$5,"&gt;="&amp;(Asistencia!$T$4-3),Asistencia!$H$5:$S$5,"&lt;="&amp;Asistencia!$T$4),""))</f>
        <v/>
      </c>
      <c r="O54" s="81" t="str">
        <f t="shared" si="9"/>
        <v/>
      </c>
      <c r="P54" s="61" t="str">
        <f>IF(J54="","",J54*Configuración!$C$15)</f>
        <v/>
      </c>
      <c r="Q54" s="61" t="str">
        <f>IF($B54="","",IF(Clases!M54="",0,Clases!M54))</f>
        <v/>
      </c>
      <c r="R54" s="82" t="str">
        <f t="shared" si="10"/>
        <v/>
      </c>
      <c r="S54" s="60" t="str">
        <f>IF($B54="","",IF(J54="","Apunta la asistencia",IF(K54="","Faltan las plazas de la clase",IF(K54&gt;=Configuración!$C$20,"Casi llena: abre otra sesión",IF(K54&lt;Configuración!$C$18,"Revisa horario o formato",IF(R54&lt;0,"No cubre el coste del monitor",IF(AND(ISNUMBER(O54),N(O54)&lt;=Configuración!$C$21),"Va a menos: pregunta por qué",IF(K54&lt;Configuración!$C$19,"Dale visibilidad entre tus socios","Va bien: mantenla"))))))))</f>
        <v/>
      </c>
      <c r="T54" t="str">
        <f t="shared" si="11"/>
        <v/>
      </c>
      <c r="U54">
        <f t="shared" si="12"/>
        <v>0</v>
      </c>
      <c r="V54">
        <f t="shared" si="13"/>
        <v>0</v>
      </c>
      <c r="W54" t="str">
        <f>IF($B54="","",Clases!L54)</f>
        <v/>
      </c>
      <c r="X54">
        <f>N(Clases!U54)</f>
        <v>0</v>
      </c>
    </row>
    <row r="55" spans="2:24" ht="18" customHeight="1" x14ac:dyDescent="0.2">
      <c r="B55" s="83" t="str">
        <f>IF(Clases!$B55="","",Clases!$B55)</f>
        <v/>
      </c>
      <c r="C55" s="84" t="str">
        <f>IF($B55="","",Clases!C55)</f>
        <v/>
      </c>
      <c r="D55" s="85" t="str">
        <f>IF($B55="","",Clases!D55)</f>
        <v/>
      </c>
      <c r="E55" s="84" t="str">
        <f>IF($B55="","",Clases!E55)</f>
        <v/>
      </c>
      <c r="F55" s="84" t="str">
        <f>IF($B55="","",Clases!F55)</f>
        <v/>
      </c>
      <c r="G55" s="84" t="str">
        <f>IF($B55="","",IF(Clases!G55="","—",Clases!G55))</f>
        <v/>
      </c>
      <c r="H55" s="86" t="str">
        <f>IF($B55="","",Clases!I55)</f>
        <v/>
      </c>
      <c r="I55" s="86" t="str">
        <f>IF($B55="","",COUNT(Asistencia!H58:S58))</f>
        <v/>
      </c>
      <c r="J55" s="87" t="str">
        <f>IF($B55="","",IF(I55=0,"",AVERAGE(Asistencia!H58:S58)))</f>
        <v/>
      </c>
      <c r="K55" s="88" t="str">
        <f t="shared" si="7"/>
        <v/>
      </c>
      <c r="L55" s="87" t="str">
        <f t="shared" si="8"/>
        <v/>
      </c>
      <c r="M55" s="87" t="str">
        <f>IF(J55="","",IFERROR(AVERAGEIFS(Asistencia!H58:S58,Asistencia!$H$5:$S$5,"&lt;=4"),""))</f>
        <v/>
      </c>
      <c r="N55" s="87" t="str">
        <f>IF(OR(J55="",Asistencia!$T$4&lt;8),"",IFERROR(AVERAGEIFS(Asistencia!H58:S58,Asistencia!$H$5:$S$5,"&gt;="&amp;(Asistencia!$T$4-3),Asistencia!$H$5:$S$5,"&lt;="&amp;Asistencia!$T$4),""))</f>
        <v/>
      </c>
      <c r="O55" s="89" t="str">
        <f t="shared" si="9"/>
        <v/>
      </c>
      <c r="P55" s="90" t="str">
        <f>IF(J55="","",J55*Configuración!$C$15)</f>
        <v/>
      </c>
      <c r="Q55" s="90" t="str">
        <f>IF($B55="","",IF(Clases!M55="",0,Clases!M55))</f>
        <v/>
      </c>
      <c r="R55" s="91" t="str">
        <f t="shared" si="10"/>
        <v/>
      </c>
      <c r="S55" s="84" t="str">
        <f>IF($B55="","",IF(J55="","Apunta la asistencia",IF(K55="","Faltan las plazas de la clase",IF(K55&gt;=Configuración!$C$20,"Casi llena: abre otra sesión",IF(K55&lt;Configuración!$C$18,"Revisa horario o formato",IF(R55&lt;0,"No cubre el coste del monitor",IF(AND(ISNUMBER(O55),N(O55)&lt;=Configuración!$C$21),"Va a menos: pregunta por qué",IF(K55&lt;Configuración!$C$19,"Dale visibilidad entre tus socios","Va bien: mantenla"))))))))</f>
        <v/>
      </c>
      <c r="T55" t="str">
        <f t="shared" si="11"/>
        <v/>
      </c>
      <c r="U55">
        <f t="shared" si="12"/>
        <v>0</v>
      </c>
      <c r="V55">
        <f t="shared" si="13"/>
        <v>0</v>
      </c>
      <c r="W55" t="str">
        <f>IF($B55="","",Clases!L55)</f>
        <v/>
      </c>
      <c r="X55">
        <f>N(Clases!U55)</f>
        <v>0</v>
      </c>
    </row>
    <row r="56" spans="2:24" ht="18" customHeight="1" x14ac:dyDescent="0.2">
      <c r="B56" s="57" t="str">
        <f>IF(Clases!$B56="","",Clases!$B56)</f>
        <v/>
      </c>
      <c r="C56" s="60" t="str">
        <f>IF($B56="","",Clases!C56)</f>
        <v/>
      </c>
      <c r="D56" s="59" t="str">
        <f>IF($B56="","",Clases!D56)</f>
        <v/>
      </c>
      <c r="E56" s="60" t="str">
        <f>IF($B56="","",Clases!E56)</f>
        <v/>
      </c>
      <c r="F56" s="60" t="str">
        <f>IF($B56="","",Clases!F56)</f>
        <v/>
      </c>
      <c r="G56" s="60" t="str">
        <f>IF($B56="","",IF(Clases!G56="","—",Clases!G56))</f>
        <v/>
      </c>
      <c r="H56" s="32" t="str">
        <f>IF($B56="","",Clases!I56)</f>
        <v/>
      </c>
      <c r="I56" s="32" t="str">
        <f>IF($B56="","",COUNT(Asistencia!H59:S59))</f>
        <v/>
      </c>
      <c r="J56" s="37" t="str">
        <f>IF($B56="","",IF(I56=0,"",AVERAGE(Asistencia!H59:S59)))</f>
        <v/>
      </c>
      <c r="K56" s="80" t="str">
        <f t="shared" si="7"/>
        <v/>
      </c>
      <c r="L56" s="37" t="str">
        <f t="shared" si="8"/>
        <v/>
      </c>
      <c r="M56" s="37" t="str">
        <f>IF(J56="","",IFERROR(AVERAGEIFS(Asistencia!H59:S59,Asistencia!$H$5:$S$5,"&lt;=4"),""))</f>
        <v/>
      </c>
      <c r="N56" s="37" t="str">
        <f>IF(OR(J56="",Asistencia!$T$4&lt;8),"",IFERROR(AVERAGEIFS(Asistencia!H59:S59,Asistencia!$H$5:$S$5,"&gt;="&amp;(Asistencia!$T$4-3),Asistencia!$H$5:$S$5,"&lt;="&amp;Asistencia!$T$4),""))</f>
        <v/>
      </c>
      <c r="O56" s="81" t="str">
        <f t="shared" si="9"/>
        <v/>
      </c>
      <c r="P56" s="61" t="str">
        <f>IF(J56="","",J56*Configuración!$C$15)</f>
        <v/>
      </c>
      <c r="Q56" s="61" t="str">
        <f>IF($B56="","",IF(Clases!M56="",0,Clases!M56))</f>
        <v/>
      </c>
      <c r="R56" s="82" t="str">
        <f t="shared" si="10"/>
        <v/>
      </c>
      <c r="S56" s="60" t="str">
        <f>IF($B56="","",IF(J56="","Apunta la asistencia",IF(K56="","Faltan las plazas de la clase",IF(K56&gt;=Configuración!$C$20,"Casi llena: abre otra sesión",IF(K56&lt;Configuración!$C$18,"Revisa horario o formato",IF(R56&lt;0,"No cubre el coste del monitor",IF(AND(ISNUMBER(O56),N(O56)&lt;=Configuración!$C$21),"Va a menos: pregunta por qué",IF(K56&lt;Configuración!$C$19,"Dale visibilidad entre tus socios","Va bien: mantenla"))))))))</f>
        <v/>
      </c>
      <c r="T56" t="str">
        <f t="shared" si="11"/>
        <v/>
      </c>
      <c r="U56">
        <f t="shared" si="12"/>
        <v>0</v>
      </c>
      <c r="V56">
        <f t="shared" si="13"/>
        <v>0</v>
      </c>
      <c r="W56" t="str">
        <f>IF($B56="","",Clases!L56)</f>
        <v/>
      </c>
      <c r="X56">
        <f>N(Clases!U56)</f>
        <v>0</v>
      </c>
    </row>
    <row r="57" spans="2:24" ht="18" customHeight="1" x14ac:dyDescent="0.2">
      <c r="B57" s="83" t="str">
        <f>IF(Clases!$B57="","",Clases!$B57)</f>
        <v/>
      </c>
      <c r="C57" s="84" t="str">
        <f>IF($B57="","",Clases!C57)</f>
        <v/>
      </c>
      <c r="D57" s="85" t="str">
        <f>IF($B57="","",Clases!D57)</f>
        <v/>
      </c>
      <c r="E57" s="84" t="str">
        <f>IF($B57="","",Clases!E57)</f>
        <v/>
      </c>
      <c r="F57" s="84" t="str">
        <f>IF($B57="","",Clases!F57)</f>
        <v/>
      </c>
      <c r="G57" s="84" t="str">
        <f>IF($B57="","",IF(Clases!G57="","—",Clases!G57))</f>
        <v/>
      </c>
      <c r="H57" s="86" t="str">
        <f>IF($B57="","",Clases!I57)</f>
        <v/>
      </c>
      <c r="I57" s="86" t="str">
        <f>IF($B57="","",COUNT(Asistencia!H60:S60))</f>
        <v/>
      </c>
      <c r="J57" s="87" t="str">
        <f>IF($B57="","",IF(I57=0,"",AVERAGE(Asistencia!H60:S60)))</f>
        <v/>
      </c>
      <c r="K57" s="88" t="str">
        <f t="shared" si="7"/>
        <v/>
      </c>
      <c r="L57" s="87" t="str">
        <f t="shared" si="8"/>
        <v/>
      </c>
      <c r="M57" s="87" t="str">
        <f>IF(J57="","",IFERROR(AVERAGEIFS(Asistencia!H60:S60,Asistencia!$H$5:$S$5,"&lt;=4"),""))</f>
        <v/>
      </c>
      <c r="N57" s="87" t="str">
        <f>IF(OR(J57="",Asistencia!$T$4&lt;8),"",IFERROR(AVERAGEIFS(Asistencia!H60:S60,Asistencia!$H$5:$S$5,"&gt;="&amp;(Asistencia!$T$4-3),Asistencia!$H$5:$S$5,"&lt;="&amp;Asistencia!$T$4),""))</f>
        <v/>
      </c>
      <c r="O57" s="89" t="str">
        <f t="shared" si="9"/>
        <v/>
      </c>
      <c r="P57" s="90" t="str">
        <f>IF(J57="","",J57*Configuración!$C$15)</f>
        <v/>
      </c>
      <c r="Q57" s="90" t="str">
        <f>IF($B57="","",IF(Clases!M57="",0,Clases!M57))</f>
        <v/>
      </c>
      <c r="R57" s="91" t="str">
        <f t="shared" si="10"/>
        <v/>
      </c>
      <c r="S57" s="84" t="str">
        <f>IF($B57="","",IF(J57="","Apunta la asistencia",IF(K57="","Faltan las plazas de la clase",IF(K57&gt;=Configuración!$C$20,"Casi llena: abre otra sesión",IF(K57&lt;Configuración!$C$18,"Revisa horario o formato",IF(R57&lt;0,"No cubre el coste del monitor",IF(AND(ISNUMBER(O57),N(O57)&lt;=Configuración!$C$21),"Va a menos: pregunta por qué",IF(K57&lt;Configuración!$C$19,"Dale visibilidad entre tus socios","Va bien: mantenla"))))))))</f>
        <v/>
      </c>
      <c r="T57" t="str">
        <f t="shared" si="11"/>
        <v/>
      </c>
      <c r="U57">
        <f t="shared" si="12"/>
        <v>0</v>
      </c>
      <c r="V57">
        <f t="shared" si="13"/>
        <v>0</v>
      </c>
      <c r="W57" t="str">
        <f>IF($B57="","",Clases!L57)</f>
        <v/>
      </c>
      <c r="X57">
        <f>N(Clases!U57)</f>
        <v>0</v>
      </c>
    </row>
    <row r="58" spans="2:24" ht="18" customHeight="1" x14ac:dyDescent="0.2">
      <c r="B58" s="57" t="str">
        <f>IF(Clases!$B58="","",Clases!$B58)</f>
        <v/>
      </c>
      <c r="C58" s="60" t="str">
        <f>IF($B58="","",Clases!C58)</f>
        <v/>
      </c>
      <c r="D58" s="59" t="str">
        <f>IF($B58="","",Clases!D58)</f>
        <v/>
      </c>
      <c r="E58" s="60" t="str">
        <f>IF($B58="","",Clases!E58)</f>
        <v/>
      </c>
      <c r="F58" s="60" t="str">
        <f>IF($B58="","",Clases!F58)</f>
        <v/>
      </c>
      <c r="G58" s="60" t="str">
        <f>IF($B58="","",IF(Clases!G58="","—",Clases!G58))</f>
        <v/>
      </c>
      <c r="H58" s="32" t="str">
        <f>IF($B58="","",Clases!I58)</f>
        <v/>
      </c>
      <c r="I58" s="32" t="str">
        <f>IF($B58="","",COUNT(Asistencia!H61:S61))</f>
        <v/>
      </c>
      <c r="J58" s="37" t="str">
        <f>IF($B58="","",IF(I58=0,"",AVERAGE(Asistencia!H61:S61)))</f>
        <v/>
      </c>
      <c r="K58" s="80" t="str">
        <f t="shared" si="7"/>
        <v/>
      </c>
      <c r="L58" s="37" t="str">
        <f t="shared" si="8"/>
        <v/>
      </c>
      <c r="M58" s="37" t="str">
        <f>IF(J58="","",IFERROR(AVERAGEIFS(Asistencia!H61:S61,Asistencia!$H$5:$S$5,"&lt;=4"),""))</f>
        <v/>
      </c>
      <c r="N58" s="37" t="str">
        <f>IF(OR(J58="",Asistencia!$T$4&lt;8),"",IFERROR(AVERAGEIFS(Asistencia!H61:S61,Asistencia!$H$5:$S$5,"&gt;="&amp;(Asistencia!$T$4-3),Asistencia!$H$5:$S$5,"&lt;="&amp;Asistencia!$T$4),""))</f>
        <v/>
      </c>
      <c r="O58" s="81" t="str">
        <f t="shared" si="9"/>
        <v/>
      </c>
      <c r="P58" s="61" t="str">
        <f>IF(J58="","",J58*Configuración!$C$15)</f>
        <v/>
      </c>
      <c r="Q58" s="61" t="str">
        <f>IF($B58="","",IF(Clases!M58="",0,Clases!M58))</f>
        <v/>
      </c>
      <c r="R58" s="82" t="str">
        <f t="shared" si="10"/>
        <v/>
      </c>
      <c r="S58" s="60" t="str">
        <f>IF($B58="","",IF(J58="","Apunta la asistencia",IF(K58="","Faltan las plazas de la clase",IF(K58&gt;=Configuración!$C$20,"Casi llena: abre otra sesión",IF(K58&lt;Configuración!$C$18,"Revisa horario o formato",IF(R58&lt;0,"No cubre el coste del monitor",IF(AND(ISNUMBER(O58),N(O58)&lt;=Configuración!$C$21),"Va a menos: pregunta por qué",IF(K58&lt;Configuración!$C$19,"Dale visibilidad entre tus socios","Va bien: mantenla"))))))))</f>
        <v/>
      </c>
      <c r="T58" t="str">
        <f t="shared" si="11"/>
        <v/>
      </c>
      <c r="U58">
        <f t="shared" si="12"/>
        <v>0</v>
      </c>
      <c r="V58">
        <f t="shared" si="13"/>
        <v>0</v>
      </c>
      <c r="W58" t="str">
        <f>IF($B58="","",Clases!L58)</f>
        <v/>
      </c>
      <c r="X58">
        <f>N(Clases!U58)</f>
        <v>0</v>
      </c>
    </row>
    <row r="59" spans="2:24" ht="18" customHeight="1" x14ac:dyDescent="0.2">
      <c r="B59" s="83" t="str">
        <f>IF(Clases!$B59="","",Clases!$B59)</f>
        <v/>
      </c>
      <c r="C59" s="84" t="str">
        <f>IF($B59="","",Clases!C59)</f>
        <v/>
      </c>
      <c r="D59" s="85" t="str">
        <f>IF($B59="","",Clases!D59)</f>
        <v/>
      </c>
      <c r="E59" s="84" t="str">
        <f>IF($B59="","",Clases!E59)</f>
        <v/>
      </c>
      <c r="F59" s="84" t="str">
        <f>IF($B59="","",Clases!F59)</f>
        <v/>
      </c>
      <c r="G59" s="84" t="str">
        <f>IF($B59="","",IF(Clases!G59="","—",Clases!G59))</f>
        <v/>
      </c>
      <c r="H59" s="86" t="str">
        <f>IF($B59="","",Clases!I59)</f>
        <v/>
      </c>
      <c r="I59" s="86" t="str">
        <f>IF($B59="","",COUNT(Asistencia!H62:S62))</f>
        <v/>
      </c>
      <c r="J59" s="87" t="str">
        <f>IF($B59="","",IF(I59=0,"",AVERAGE(Asistencia!H62:S62)))</f>
        <v/>
      </c>
      <c r="K59" s="88" t="str">
        <f t="shared" si="7"/>
        <v/>
      </c>
      <c r="L59" s="87" t="str">
        <f t="shared" si="8"/>
        <v/>
      </c>
      <c r="M59" s="87" t="str">
        <f>IF(J59="","",IFERROR(AVERAGEIFS(Asistencia!H62:S62,Asistencia!$H$5:$S$5,"&lt;=4"),""))</f>
        <v/>
      </c>
      <c r="N59" s="87" t="str">
        <f>IF(OR(J59="",Asistencia!$T$4&lt;8),"",IFERROR(AVERAGEIFS(Asistencia!H62:S62,Asistencia!$H$5:$S$5,"&gt;="&amp;(Asistencia!$T$4-3),Asistencia!$H$5:$S$5,"&lt;="&amp;Asistencia!$T$4),""))</f>
        <v/>
      </c>
      <c r="O59" s="89" t="str">
        <f t="shared" si="9"/>
        <v/>
      </c>
      <c r="P59" s="90" t="str">
        <f>IF(J59="","",J59*Configuración!$C$15)</f>
        <v/>
      </c>
      <c r="Q59" s="90" t="str">
        <f>IF($B59="","",IF(Clases!M59="",0,Clases!M59))</f>
        <v/>
      </c>
      <c r="R59" s="91" t="str">
        <f t="shared" si="10"/>
        <v/>
      </c>
      <c r="S59" s="84" t="str">
        <f>IF($B59="","",IF(J59="","Apunta la asistencia",IF(K59="","Faltan las plazas de la clase",IF(K59&gt;=Configuración!$C$20,"Casi llena: abre otra sesión",IF(K59&lt;Configuración!$C$18,"Revisa horario o formato",IF(R59&lt;0,"No cubre el coste del monitor",IF(AND(ISNUMBER(O59),N(O59)&lt;=Configuración!$C$21),"Va a menos: pregunta por qué",IF(K59&lt;Configuración!$C$19,"Dale visibilidad entre tus socios","Va bien: mantenla"))))))))</f>
        <v/>
      </c>
      <c r="T59" t="str">
        <f t="shared" si="11"/>
        <v/>
      </c>
      <c r="U59">
        <f t="shared" si="12"/>
        <v>0</v>
      </c>
      <c r="V59">
        <f t="shared" si="13"/>
        <v>0</v>
      </c>
      <c r="W59" t="str">
        <f>IF($B59="","",Clases!L59)</f>
        <v/>
      </c>
      <c r="X59">
        <f>N(Clases!U59)</f>
        <v>0</v>
      </c>
    </row>
    <row r="60" spans="2:24" ht="18" customHeight="1" x14ac:dyDescent="0.2">
      <c r="B60" s="57" t="str">
        <f>IF(Clases!$B60="","",Clases!$B60)</f>
        <v/>
      </c>
      <c r="C60" s="60" t="str">
        <f>IF($B60="","",Clases!C60)</f>
        <v/>
      </c>
      <c r="D60" s="59" t="str">
        <f>IF($B60="","",Clases!D60)</f>
        <v/>
      </c>
      <c r="E60" s="60" t="str">
        <f>IF($B60="","",Clases!E60)</f>
        <v/>
      </c>
      <c r="F60" s="60" t="str">
        <f>IF($B60="","",Clases!F60)</f>
        <v/>
      </c>
      <c r="G60" s="60" t="str">
        <f>IF($B60="","",IF(Clases!G60="","—",Clases!G60))</f>
        <v/>
      </c>
      <c r="H60" s="32" t="str">
        <f>IF($B60="","",Clases!I60)</f>
        <v/>
      </c>
      <c r="I60" s="32" t="str">
        <f>IF($B60="","",COUNT(Asistencia!H63:S63))</f>
        <v/>
      </c>
      <c r="J60" s="37" t="str">
        <f>IF($B60="","",IF(I60=0,"",AVERAGE(Asistencia!H63:S63)))</f>
        <v/>
      </c>
      <c r="K60" s="80" t="str">
        <f t="shared" si="7"/>
        <v/>
      </c>
      <c r="L60" s="37" t="str">
        <f t="shared" si="8"/>
        <v/>
      </c>
      <c r="M60" s="37" t="str">
        <f>IF(J60="","",IFERROR(AVERAGEIFS(Asistencia!H63:S63,Asistencia!$H$5:$S$5,"&lt;=4"),""))</f>
        <v/>
      </c>
      <c r="N60" s="37" t="str">
        <f>IF(OR(J60="",Asistencia!$T$4&lt;8),"",IFERROR(AVERAGEIFS(Asistencia!H63:S63,Asistencia!$H$5:$S$5,"&gt;="&amp;(Asistencia!$T$4-3),Asistencia!$H$5:$S$5,"&lt;="&amp;Asistencia!$T$4),""))</f>
        <v/>
      </c>
      <c r="O60" s="81" t="str">
        <f t="shared" si="9"/>
        <v/>
      </c>
      <c r="P60" s="61" t="str">
        <f>IF(J60="","",J60*Configuración!$C$15)</f>
        <v/>
      </c>
      <c r="Q60" s="61" t="str">
        <f>IF($B60="","",IF(Clases!M60="",0,Clases!M60))</f>
        <v/>
      </c>
      <c r="R60" s="82" t="str">
        <f t="shared" si="10"/>
        <v/>
      </c>
      <c r="S60" s="60" t="str">
        <f>IF($B60="","",IF(J60="","Apunta la asistencia",IF(K60="","Faltan las plazas de la clase",IF(K60&gt;=Configuración!$C$20,"Casi llena: abre otra sesión",IF(K60&lt;Configuración!$C$18,"Revisa horario o formato",IF(R60&lt;0,"No cubre el coste del monitor",IF(AND(ISNUMBER(O60),N(O60)&lt;=Configuración!$C$21),"Va a menos: pregunta por qué",IF(K60&lt;Configuración!$C$19,"Dale visibilidad entre tus socios","Va bien: mantenla"))))))))</f>
        <v/>
      </c>
      <c r="T60" t="str">
        <f t="shared" si="11"/>
        <v/>
      </c>
      <c r="U60">
        <f t="shared" si="12"/>
        <v>0</v>
      </c>
      <c r="V60">
        <f t="shared" si="13"/>
        <v>0</v>
      </c>
      <c r="W60" t="str">
        <f>IF($B60="","",Clases!L60)</f>
        <v/>
      </c>
      <c r="X60">
        <f>N(Clases!U60)</f>
        <v>0</v>
      </c>
    </row>
    <row r="61" spans="2:24" ht="18" customHeight="1" x14ac:dyDescent="0.2">
      <c r="B61" s="83" t="str">
        <f>IF(Clases!$B61="","",Clases!$B61)</f>
        <v/>
      </c>
      <c r="C61" s="84" t="str">
        <f>IF($B61="","",Clases!C61)</f>
        <v/>
      </c>
      <c r="D61" s="85" t="str">
        <f>IF($B61="","",Clases!D61)</f>
        <v/>
      </c>
      <c r="E61" s="84" t="str">
        <f>IF($B61="","",Clases!E61)</f>
        <v/>
      </c>
      <c r="F61" s="84" t="str">
        <f>IF($B61="","",Clases!F61)</f>
        <v/>
      </c>
      <c r="G61" s="84" t="str">
        <f>IF($B61="","",IF(Clases!G61="","—",Clases!G61))</f>
        <v/>
      </c>
      <c r="H61" s="86" t="str">
        <f>IF($B61="","",Clases!I61)</f>
        <v/>
      </c>
      <c r="I61" s="86" t="str">
        <f>IF($B61="","",COUNT(Asistencia!H64:S64))</f>
        <v/>
      </c>
      <c r="J61" s="87" t="str">
        <f>IF($B61="","",IF(I61=0,"",AVERAGE(Asistencia!H64:S64)))</f>
        <v/>
      </c>
      <c r="K61" s="88" t="str">
        <f t="shared" si="7"/>
        <v/>
      </c>
      <c r="L61" s="87" t="str">
        <f t="shared" si="8"/>
        <v/>
      </c>
      <c r="M61" s="87" t="str">
        <f>IF(J61="","",IFERROR(AVERAGEIFS(Asistencia!H64:S64,Asistencia!$H$5:$S$5,"&lt;=4"),""))</f>
        <v/>
      </c>
      <c r="N61" s="87" t="str">
        <f>IF(OR(J61="",Asistencia!$T$4&lt;8),"",IFERROR(AVERAGEIFS(Asistencia!H64:S64,Asistencia!$H$5:$S$5,"&gt;="&amp;(Asistencia!$T$4-3),Asistencia!$H$5:$S$5,"&lt;="&amp;Asistencia!$T$4),""))</f>
        <v/>
      </c>
      <c r="O61" s="89" t="str">
        <f t="shared" si="9"/>
        <v/>
      </c>
      <c r="P61" s="90" t="str">
        <f>IF(J61="","",J61*Configuración!$C$15)</f>
        <v/>
      </c>
      <c r="Q61" s="90" t="str">
        <f>IF($B61="","",IF(Clases!M61="",0,Clases!M61))</f>
        <v/>
      </c>
      <c r="R61" s="91" t="str">
        <f t="shared" si="10"/>
        <v/>
      </c>
      <c r="S61" s="84" t="str">
        <f>IF($B61="","",IF(J61="","Apunta la asistencia",IF(K61="","Faltan las plazas de la clase",IF(K61&gt;=Configuración!$C$20,"Casi llena: abre otra sesión",IF(K61&lt;Configuración!$C$18,"Revisa horario o formato",IF(R61&lt;0,"No cubre el coste del monitor",IF(AND(ISNUMBER(O61),N(O61)&lt;=Configuración!$C$21),"Va a menos: pregunta por qué",IF(K61&lt;Configuración!$C$19,"Dale visibilidad entre tus socios","Va bien: mantenla"))))))))</f>
        <v/>
      </c>
      <c r="T61" t="str">
        <f t="shared" si="11"/>
        <v/>
      </c>
      <c r="U61">
        <f t="shared" si="12"/>
        <v>0</v>
      </c>
      <c r="V61">
        <f t="shared" si="13"/>
        <v>0</v>
      </c>
      <c r="W61" t="str">
        <f>IF($B61="","",Clases!L61)</f>
        <v/>
      </c>
      <c r="X61">
        <f>N(Clases!U61)</f>
        <v>0</v>
      </c>
    </row>
    <row r="62" spans="2:24" ht="18" customHeight="1" x14ac:dyDescent="0.2">
      <c r="B62" s="57" t="str">
        <f>IF(Clases!$B62="","",Clases!$B62)</f>
        <v/>
      </c>
      <c r="C62" s="60" t="str">
        <f>IF($B62="","",Clases!C62)</f>
        <v/>
      </c>
      <c r="D62" s="59" t="str">
        <f>IF($B62="","",Clases!D62)</f>
        <v/>
      </c>
      <c r="E62" s="60" t="str">
        <f>IF($B62="","",Clases!E62)</f>
        <v/>
      </c>
      <c r="F62" s="60" t="str">
        <f>IF($B62="","",Clases!F62)</f>
        <v/>
      </c>
      <c r="G62" s="60" t="str">
        <f>IF($B62="","",IF(Clases!G62="","—",Clases!G62))</f>
        <v/>
      </c>
      <c r="H62" s="32" t="str">
        <f>IF($B62="","",Clases!I62)</f>
        <v/>
      </c>
      <c r="I62" s="32" t="str">
        <f>IF($B62="","",COUNT(Asistencia!H65:S65))</f>
        <v/>
      </c>
      <c r="J62" s="37" t="str">
        <f>IF($B62="","",IF(I62=0,"",AVERAGE(Asistencia!H65:S65)))</f>
        <v/>
      </c>
      <c r="K62" s="80" t="str">
        <f t="shared" si="7"/>
        <v/>
      </c>
      <c r="L62" s="37" t="str">
        <f t="shared" si="8"/>
        <v/>
      </c>
      <c r="M62" s="37" t="str">
        <f>IF(J62="","",IFERROR(AVERAGEIFS(Asistencia!H65:S65,Asistencia!$H$5:$S$5,"&lt;=4"),""))</f>
        <v/>
      </c>
      <c r="N62" s="37" t="str">
        <f>IF(OR(J62="",Asistencia!$T$4&lt;8),"",IFERROR(AVERAGEIFS(Asistencia!H65:S65,Asistencia!$H$5:$S$5,"&gt;="&amp;(Asistencia!$T$4-3),Asistencia!$H$5:$S$5,"&lt;="&amp;Asistencia!$T$4),""))</f>
        <v/>
      </c>
      <c r="O62" s="81" t="str">
        <f t="shared" si="9"/>
        <v/>
      </c>
      <c r="P62" s="61" t="str">
        <f>IF(J62="","",J62*Configuración!$C$15)</f>
        <v/>
      </c>
      <c r="Q62" s="61" t="str">
        <f>IF($B62="","",IF(Clases!M62="",0,Clases!M62))</f>
        <v/>
      </c>
      <c r="R62" s="82" t="str">
        <f t="shared" si="10"/>
        <v/>
      </c>
      <c r="S62" s="60" t="str">
        <f>IF($B62="","",IF(J62="","Apunta la asistencia",IF(K62="","Faltan las plazas de la clase",IF(K62&gt;=Configuración!$C$20,"Casi llena: abre otra sesión",IF(K62&lt;Configuración!$C$18,"Revisa horario o formato",IF(R62&lt;0,"No cubre el coste del monitor",IF(AND(ISNUMBER(O62),N(O62)&lt;=Configuración!$C$21),"Va a menos: pregunta por qué",IF(K62&lt;Configuración!$C$19,"Dale visibilidad entre tus socios","Va bien: mantenla"))))))))</f>
        <v/>
      </c>
      <c r="T62" t="str">
        <f t="shared" si="11"/>
        <v/>
      </c>
      <c r="U62">
        <f t="shared" si="12"/>
        <v>0</v>
      </c>
      <c r="V62">
        <f t="shared" si="13"/>
        <v>0</v>
      </c>
      <c r="W62" t="str">
        <f>IF($B62="","",Clases!L62)</f>
        <v/>
      </c>
      <c r="X62">
        <f>N(Clases!U62)</f>
        <v>0</v>
      </c>
    </row>
    <row r="63" spans="2:24" ht="18" customHeight="1" x14ac:dyDescent="0.2">
      <c r="B63" s="83" t="str">
        <f>IF(Clases!$B63="","",Clases!$B63)</f>
        <v/>
      </c>
      <c r="C63" s="84" t="str">
        <f>IF($B63="","",Clases!C63)</f>
        <v/>
      </c>
      <c r="D63" s="85" t="str">
        <f>IF($B63="","",Clases!D63)</f>
        <v/>
      </c>
      <c r="E63" s="84" t="str">
        <f>IF($B63="","",Clases!E63)</f>
        <v/>
      </c>
      <c r="F63" s="84" t="str">
        <f>IF($B63="","",Clases!F63)</f>
        <v/>
      </c>
      <c r="G63" s="84" t="str">
        <f>IF($B63="","",IF(Clases!G63="","—",Clases!G63))</f>
        <v/>
      </c>
      <c r="H63" s="86" t="str">
        <f>IF($B63="","",Clases!I63)</f>
        <v/>
      </c>
      <c r="I63" s="86" t="str">
        <f>IF($B63="","",COUNT(Asistencia!H66:S66))</f>
        <v/>
      </c>
      <c r="J63" s="87" t="str">
        <f>IF($B63="","",IF(I63=0,"",AVERAGE(Asistencia!H66:S66)))</f>
        <v/>
      </c>
      <c r="K63" s="88" t="str">
        <f t="shared" si="7"/>
        <v/>
      </c>
      <c r="L63" s="87" t="str">
        <f t="shared" si="8"/>
        <v/>
      </c>
      <c r="M63" s="87" t="str">
        <f>IF(J63="","",IFERROR(AVERAGEIFS(Asistencia!H66:S66,Asistencia!$H$5:$S$5,"&lt;=4"),""))</f>
        <v/>
      </c>
      <c r="N63" s="87" t="str">
        <f>IF(OR(J63="",Asistencia!$T$4&lt;8),"",IFERROR(AVERAGEIFS(Asistencia!H66:S66,Asistencia!$H$5:$S$5,"&gt;="&amp;(Asistencia!$T$4-3),Asistencia!$H$5:$S$5,"&lt;="&amp;Asistencia!$T$4),""))</f>
        <v/>
      </c>
      <c r="O63" s="89" t="str">
        <f t="shared" si="9"/>
        <v/>
      </c>
      <c r="P63" s="90" t="str">
        <f>IF(J63="","",J63*Configuración!$C$15)</f>
        <v/>
      </c>
      <c r="Q63" s="90" t="str">
        <f>IF($B63="","",IF(Clases!M63="",0,Clases!M63))</f>
        <v/>
      </c>
      <c r="R63" s="91" t="str">
        <f t="shared" si="10"/>
        <v/>
      </c>
      <c r="S63" s="84" t="str">
        <f>IF($B63="","",IF(J63="","Apunta la asistencia",IF(K63="","Faltan las plazas de la clase",IF(K63&gt;=Configuración!$C$20,"Casi llena: abre otra sesión",IF(K63&lt;Configuración!$C$18,"Revisa horario o formato",IF(R63&lt;0,"No cubre el coste del monitor",IF(AND(ISNUMBER(O63),N(O63)&lt;=Configuración!$C$21),"Va a menos: pregunta por qué",IF(K63&lt;Configuración!$C$19,"Dale visibilidad entre tus socios","Va bien: mantenla"))))))))</f>
        <v/>
      </c>
      <c r="T63" t="str">
        <f t="shared" si="11"/>
        <v/>
      </c>
      <c r="U63">
        <f t="shared" si="12"/>
        <v>0</v>
      </c>
      <c r="V63">
        <f t="shared" si="13"/>
        <v>0</v>
      </c>
      <c r="W63" t="str">
        <f>IF($B63="","",Clases!L63)</f>
        <v/>
      </c>
      <c r="X63">
        <f>N(Clases!U63)</f>
        <v>0</v>
      </c>
    </row>
    <row r="64" spans="2:24" ht="18" customHeight="1" x14ac:dyDescent="0.2">
      <c r="B64" s="57" t="str">
        <f>IF(Clases!$B64="","",Clases!$B64)</f>
        <v/>
      </c>
      <c r="C64" s="60" t="str">
        <f>IF($B64="","",Clases!C64)</f>
        <v/>
      </c>
      <c r="D64" s="59" t="str">
        <f>IF($B64="","",Clases!D64)</f>
        <v/>
      </c>
      <c r="E64" s="60" t="str">
        <f>IF($B64="","",Clases!E64)</f>
        <v/>
      </c>
      <c r="F64" s="60" t="str">
        <f>IF($B64="","",Clases!F64)</f>
        <v/>
      </c>
      <c r="G64" s="60" t="str">
        <f>IF($B64="","",IF(Clases!G64="","—",Clases!G64))</f>
        <v/>
      </c>
      <c r="H64" s="32" t="str">
        <f>IF($B64="","",Clases!I64)</f>
        <v/>
      </c>
      <c r="I64" s="32" t="str">
        <f>IF($B64="","",COUNT(Asistencia!H67:S67))</f>
        <v/>
      </c>
      <c r="J64" s="37" t="str">
        <f>IF($B64="","",IF(I64=0,"",AVERAGE(Asistencia!H67:S67)))</f>
        <v/>
      </c>
      <c r="K64" s="80" t="str">
        <f t="shared" si="7"/>
        <v/>
      </c>
      <c r="L64" s="37" t="str">
        <f t="shared" si="8"/>
        <v/>
      </c>
      <c r="M64" s="37" t="str">
        <f>IF(J64="","",IFERROR(AVERAGEIFS(Asistencia!H67:S67,Asistencia!$H$5:$S$5,"&lt;=4"),""))</f>
        <v/>
      </c>
      <c r="N64" s="37" t="str">
        <f>IF(OR(J64="",Asistencia!$T$4&lt;8),"",IFERROR(AVERAGEIFS(Asistencia!H67:S67,Asistencia!$H$5:$S$5,"&gt;="&amp;(Asistencia!$T$4-3),Asistencia!$H$5:$S$5,"&lt;="&amp;Asistencia!$T$4),""))</f>
        <v/>
      </c>
      <c r="O64" s="81" t="str">
        <f t="shared" si="9"/>
        <v/>
      </c>
      <c r="P64" s="61" t="str">
        <f>IF(J64="","",J64*Configuración!$C$15)</f>
        <v/>
      </c>
      <c r="Q64" s="61" t="str">
        <f>IF($B64="","",IF(Clases!M64="",0,Clases!M64))</f>
        <v/>
      </c>
      <c r="R64" s="82" t="str">
        <f t="shared" si="10"/>
        <v/>
      </c>
      <c r="S64" s="60" t="str">
        <f>IF($B64="","",IF(J64="","Apunta la asistencia",IF(K64="","Faltan las plazas de la clase",IF(K64&gt;=Configuración!$C$20,"Casi llena: abre otra sesión",IF(K64&lt;Configuración!$C$18,"Revisa horario o formato",IF(R64&lt;0,"No cubre el coste del monitor",IF(AND(ISNUMBER(O64),N(O64)&lt;=Configuración!$C$21),"Va a menos: pregunta por qué",IF(K64&lt;Configuración!$C$19,"Dale visibilidad entre tus socios","Va bien: mantenla"))))))))</f>
        <v/>
      </c>
      <c r="T64" t="str">
        <f t="shared" si="11"/>
        <v/>
      </c>
      <c r="U64">
        <f t="shared" si="12"/>
        <v>0</v>
      </c>
      <c r="V64">
        <f t="shared" si="13"/>
        <v>0</v>
      </c>
      <c r="W64" t="str">
        <f>IF($B64="","",Clases!L64)</f>
        <v/>
      </c>
      <c r="X64">
        <f>N(Clases!U64)</f>
        <v>0</v>
      </c>
    </row>
    <row r="65" spans="2:24" ht="18" customHeight="1" x14ac:dyDescent="0.2">
      <c r="B65" s="83" t="str">
        <f>IF(Clases!$B65="","",Clases!$B65)</f>
        <v/>
      </c>
      <c r="C65" s="84" t="str">
        <f>IF($B65="","",Clases!C65)</f>
        <v/>
      </c>
      <c r="D65" s="85" t="str">
        <f>IF($B65="","",Clases!D65)</f>
        <v/>
      </c>
      <c r="E65" s="84" t="str">
        <f>IF($B65="","",Clases!E65)</f>
        <v/>
      </c>
      <c r="F65" s="84" t="str">
        <f>IF($B65="","",Clases!F65)</f>
        <v/>
      </c>
      <c r="G65" s="84" t="str">
        <f>IF($B65="","",IF(Clases!G65="","—",Clases!G65))</f>
        <v/>
      </c>
      <c r="H65" s="86" t="str">
        <f>IF($B65="","",Clases!I65)</f>
        <v/>
      </c>
      <c r="I65" s="86" t="str">
        <f>IF($B65="","",COUNT(Asistencia!H68:S68))</f>
        <v/>
      </c>
      <c r="J65" s="87" t="str">
        <f>IF($B65="","",IF(I65=0,"",AVERAGE(Asistencia!H68:S68)))</f>
        <v/>
      </c>
      <c r="K65" s="88" t="str">
        <f t="shared" si="7"/>
        <v/>
      </c>
      <c r="L65" s="87" t="str">
        <f t="shared" si="8"/>
        <v/>
      </c>
      <c r="M65" s="87" t="str">
        <f>IF(J65="","",IFERROR(AVERAGEIFS(Asistencia!H68:S68,Asistencia!$H$5:$S$5,"&lt;=4"),""))</f>
        <v/>
      </c>
      <c r="N65" s="87" t="str">
        <f>IF(OR(J65="",Asistencia!$T$4&lt;8),"",IFERROR(AVERAGEIFS(Asistencia!H68:S68,Asistencia!$H$5:$S$5,"&gt;="&amp;(Asistencia!$T$4-3),Asistencia!$H$5:$S$5,"&lt;="&amp;Asistencia!$T$4),""))</f>
        <v/>
      </c>
      <c r="O65" s="89" t="str">
        <f t="shared" si="9"/>
        <v/>
      </c>
      <c r="P65" s="90" t="str">
        <f>IF(J65="","",J65*Configuración!$C$15)</f>
        <v/>
      </c>
      <c r="Q65" s="90" t="str">
        <f>IF($B65="","",IF(Clases!M65="",0,Clases!M65))</f>
        <v/>
      </c>
      <c r="R65" s="91" t="str">
        <f t="shared" si="10"/>
        <v/>
      </c>
      <c r="S65" s="84" t="str">
        <f>IF($B65="","",IF(J65="","Apunta la asistencia",IF(K65="","Faltan las plazas de la clase",IF(K65&gt;=Configuración!$C$20,"Casi llena: abre otra sesión",IF(K65&lt;Configuración!$C$18,"Revisa horario o formato",IF(R65&lt;0,"No cubre el coste del monitor",IF(AND(ISNUMBER(O65),N(O65)&lt;=Configuración!$C$21),"Va a menos: pregunta por qué",IF(K65&lt;Configuración!$C$19,"Dale visibilidad entre tus socios","Va bien: mantenla"))))))))</f>
        <v/>
      </c>
      <c r="T65" t="str">
        <f t="shared" si="11"/>
        <v/>
      </c>
      <c r="U65">
        <f t="shared" si="12"/>
        <v>0</v>
      </c>
      <c r="V65">
        <f t="shared" si="13"/>
        <v>0</v>
      </c>
      <c r="W65" t="str">
        <f>IF($B65="","",Clases!L65)</f>
        <v/>
      </c>
      <c r="X65">
        <f>N(Clases!U65)</f>
        <v>0</v>
      </c>
    </row>
  </sheetData>
  <mergeCells count="5">
    <mergeCell ref="B4:E4"/>
    <mergeCell ref="F4:H4"/>
    <mergeCell ref="I4:K4"/>
    <mergeCell ref="L4:N4"/>
    <mergeCell ref="O4:S4"/>
  </mergeCells>
  <conditionalFormatting sqref="B6:B65">
    <cfRule type="expression" dxfId="49" priority="26">
      <formula>$X6=12</formula>
    </cfRule>
    <cfRule type="expression" dxfId="48" priority="25">
      <formula>$X6=11</formula>
    </cfRule>
    <cfRule type="expression" dxfId="47" priority="24">
      <formula>$X6=10</formula>
    </cfRule>
    <cfRule type="expression" dxfId="46" priority="23">
      <formula>$X6=9</formula>
    </cfRule>
    <cfRule type="expression" dxfId="45" priority="22">
      <formula>$X6=8</formula>
    </cfRule>
    <cfRule type="expression" dxfId="44" priority="21">
      <formula>$X6=7</formula>
    </cfRule>
    <cfRule type="expression" dxfId="43" priority="20">
      <formula>$X6=6</formula>
    </cfRule>
    <cfRule type="expression" dxfId="42" priority="19">
      <formula>$X6=5</formula>
    </cfRule>
    <cfRule type="expression" dxfId="41" priority="18">
      <formula>$X6=4</formula>
    </cfRule>
    <cfRule type="expression" dxfId="40" priority="17">
      <formula>$X6=3</formula>
    </cfRule>
    <cfRule type="expression" dxfId="39" priority="16">
      <formula>$X6=2</formula>
    </cfRule>
    <cfRule type="expression" dxfId="38" priority="15">
      <formula>$X6=1</formula>
    </cfRule>
  </conditionalFormatting>
  <conditionalFormatting sqref="K6:K65">
    <cfRule type="expression" dxfId="37" priority="1">
      <formula>AND(ISNUMBER(K6),K6&gt;=$Z$3)</formula>
    </cfRule>
    <cfRule type="expression" dxfId="36" priority="4">
      <formula>ISNUMBER(K6)</formula>
    </cfRule>
    <cfRule type="expression" dxfId="35" priority="3">
      <formula>AND(ISNUMBER(K6),K6&gt;=$Z$1)</formula>
    </cfRule>
    <cfRule type="expression" dxfId="34" priority="2">
      <formula>AND(ISNUMBER(K6),K6&gt;=$Z$2)</formula>
    </cfRule>
  </conditionalFormatting>
  <conditionalFormatting sqref="O6:O65">
    <cfRule type="expression" dxfId="33" priority="6">
      <formula>AND(ISNUMBER(O6),O6&gt;=ABS($Z$4))</formula>
    </cfRule>
    <cfRule type="expression" dxfId="32" priority="5">
      <formula>AND(ISNUMBER(O6),O6&lt;=$Z$4)</formula>
    </cfRule>
  </conditionalFormatting>
  <conditionalFormatting sqref="R6:R65">
    <cfRule type="expression" dxfId="31" priority="7">
      <formula>AND(ISNUMBER(R6),R6&lt;0)</formula>
    </cfRule>
  </conditionalFormatting>
  <conditionalFormatting sqref="S6:S65">
    <cfRule type="cellIs" dxfId="30" priority="13" operator="equal">
      <formula>"Va bien: mantenla"</formula>
    </cfRule>
    <cfRule type="cellIs" dxfId="29" priority="12" operator="equal">
      <formula>"Dale visibilidad entre tus socios"</formula>
    </cfRule>
    <cfRule type="cellIs" dxfId="28" priority="11" operator="equal">
      <formula>"Va a menos: pregunta por qué"</formula>
    </cfRule>
    <cfRule type="cellIs" dxfId="27" priority="10" operator="equal">
      <formula>"No cubre el coste del monitor"</formula>
    </cfRule>
    <cfRule type="cellIs" dxfId="26" priority="9" operator="equal">
      <formula>"Revisa horario o formato"</formula>
    </cfRule>
    <cfRule type="cellIs" dxfId="25" priority="8" operator="equal">
      <formula>"Casi llena: abre otra sesión"</formula>
    </cfRule>
    <cfRule type="cellIs" dxfId="24" priority="14" operator="equal">
      <formula>"Apunta la asistencia"</formula>
    </cfRule>
  </conditionalFormatting>
  <printOptions horizontalCentered="1"/>
  <pageMargins left="0.4" right="0.4" top="0.45" bottom="0.55000000000000004" header="0.2" footer="0.25"/>
  <pageSetup paperSize="9" fitToHeight="0" orientation="landscape"/>
  <headerFooter>
    <oddFooter>&amp;L&amp;"Arial,Regular"&amp;7 &amp;K5C697D&amp;A&amp;C&amp;"Arial,Regular"&amp;7 &amp;K5C697DPlantilla gratuita de GymGym · gymgym.es/recursos&amp;R&amp;"Arial,Regular"&amp;7 &amp;K5C697DPágina &amp;P de &amp;N</oddFooter>
  </headerFooter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4A3CCF"/>
    <pageSetUpPr fitToPage="1"/>
  </sheetPr>
  <dimension ref="B1:N63"/>
  <sheetViews>
    <sheetView showGridLines="0" workbookViewId="0"/>
  </sheetViews>
  <sheetFormatPr baseColWidth="10" defaultColWidth="8.83203125" defaultRowHeight="15" x14ac:dyDescent="0.2"/>
  <cols>
    <col min="1" max="1" width="2.5" customWidth="1"/>
    <col min="2" max="2" width="5" customWidth="1"/>
    <col min="3" max="3" width="19" customWidth="1"/>
    <col min="4" max="7" width="10.5" customWidth="1"/>
    <col min="8" max="10" width="11" customWidth="1"/>
    <col min="11" max="11" width="10.5" customWidth="1"/>
    <col min="12" max="12" width="11.5" customWidth="1"/>
    <col min="14" max="14" width="13" hidden="1" customWidth="1"/>
  </cols>
  <sheetData>
    <row r="1" spans="2:14" ht="30" customHeight="1" x14ac:dyDescent="0.25">
      <c r="B1" s="22" t="s">
        <v>141</v>
      </c>
      <c r="N1" s="68">
        <f>Configuración!$C$18</f>
        <v>0.4</v>
      </c>
    </row>
    <row r="2" spans="2:14" ht="18" customHeight="1" x14ac:dyDescent="0.2">
      <c r="B2" s="23" t="s">
        <v>142</v>
      </c>
      <c r="N2" s="68">
        <f>Configuración!$C$19</f>
        <v>0.65</v>
      </c>
    </row>
    <row r="3" spans="2:14" ht="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N3" s="68">
        <f>Configuración!$C$20</f>
        <v>0.9</v>
      </c>
    </row>
    <row r="4" spans="2:14" x14ac:dyDescent="0.2">
      <c r="N4" s="68">
        <f>Configuración!$C$21</f>
        <v>-0.15</v>
      </c>
    </row>
    <row r="5" spans="2:14" ht="22" customHeight="1" x14ac:dyDescent="0.2">
      <c r="B5" s="92" t="s">
        <v>143</v>
      </c>
      <c r="F5" s="93" t="s">
        <v>144</v>
      </c>
    </row>
    <row r="6" spans="2:14" ht="30" customHeight="1" x14ac:dyDescent="0.2">
      <c r="C6" s="56" t="s">
        <v>100</v>
      </c>
      <c r="D6" s="56" t="s">
        <v>145</v>
      </c>
      <c r="E6" s="56" t="s">
        <v>110</v>
      </c>
      <c r="F6" s="56" t="s">
        <v>111</v>
      </c>
      <c r="G6" s="56" t="s">
        <v>112</v>
      </c>
      <c r="H6" s="56" t="s">
        <v>113</v>
      </c>
      <c r="I6" s="56" t="s">
        <v>114</v>
      </c>
      <c r="J6" s="56" t="s">
        <v>115</v>
      </c>
      <c r="K6" s="56" t="s">
        <v>116</v>
      </c>
      <c r="L6" s="56" t="s">
        <v>146</v>
      </c>
    </row>
    <row r="7" spans="2:14" ht="26" customHeight="1" x14ac:dyDescent="0.2">
      <c r="C7" s="94" t="str">
        <f>IF(Configuración!B24="","",Configuración!B24)</f>
        <v>Primera hora</v>
      </c>
      <c r="D7" s="95">
        <f>IF(Configuración!C24="","",Configuración!C24)</f>
        <v>0.25</v>
      </c>
      <c r="E7" s="96">
        <f>IF($C7="","",IFERROR(SUMIFS(Ocupación!$V$6:$V$65,Ocupación!$W$6:$W$65,$C7,Ocupación!$C$6:$C$65,E$6)/SUMIFS(Ocupación!$U$6:$U$65,Ocupación!$W$6:$W$65,$C7,Ocupación!$C$6:$C$65,E$6),""))</f>
        <v>0.92045454545454541</v>
      </c>
      <c r="F7" s="96">
        <f>IF($C7="","",IFERROR(SUMIFS(Ocupación!$V$6:$V$65,Ocupación!$W$6:$W$65,$C7,Ocupación!$C$6:$C$65,F$6)/SUMIFS(Ocupación!$U$6:$U$65,Ocupación!$W$6:$W$65,$C7,Ocupación!$C$6:$C$65,F$6),""))</f>
        <v>0.890625</v>
      </c>
      <c r="G7" s="96">
        <f>IF($C7="","",IFERROR(SUMIFS(Ocupación!$V$6:$V$65,Ocupación!$W$6:$W$65,$C7,Ocupación!$C$6:$C$65,G$6)/SUMIFS(Ocupación!$U$6:$U$65,Ocupación!$W$6:$W$65,$C7,Ocupación!$C$6:$C$65,G$6),""))</f>
        <v>0.9375</v>
      </c>
      <c r="H7" s="96">
        <f>IF($C7="","",IFERROR(SUMIFS(Ocupación!$V$6:$V$65,Ocupación!$W$6:$W$65,$C7,Ocupación!$C$6:$C$65,H$6)/SUMIFS(Ocupación!$U$6:$U$65,Ocupación!$W$6:$W$65,$C7,Ocupación!$C$6:$C$65,H$6),""))</f>
        <v>0.88020833333333337</v>
      </c>
      <c r="I7" s="96">
        <f>IF($C7="","",IFERROR(SUMIFS(Ocupación!$V$6:$V$65,Ocupación!$W$6:$W$65,$C7,Ocupación!$C$6:$C$65,I$6)/SUMIFS(Ocupación!$U$6:$U$65,Ocupación!$W$6:$W$65,$C7,Ocupación!$C$6:$C$65,I$6),""))</f>
        <v>0.82291666666666663</v>
      </c>
      <c r="J7" s="96" t="str">
        <f>IF($C7="","",IFERROR(SUMIFS(Ocupación!$V$6:$V$65,Ocupación!$W$6:$W$65,$C7,Ocupación!$C$6:$C$65,J$6)/SUMIFS(Ocupación!$U$6:$U$65,Ocupación!$W$6:$W$65,$C7,Ocupación!$C$6:$C$65,J$6),""))</f>
        <v/>
      </c>
      <c r="K7" s="96" t="str">
        <f>IF($C7="","",IFERROR(SUMIFS(Ocupación!$V$6:$V$65,Ocupación!$W$6:$W$65,$C7,Ocupación!$C$6:$C$65,K$6)/SUMIFS(Ocupación!$U$6:$U$65,Ocupación!$W$6:$W$65,$C7,Ocupación!$C$6:$C$65,K$6),""))</f>
        <v/>
      </c>
      <c r="L7" s="97">
        <f>IF($C7="","",IFERROR(SUMIFS(Ocupación!$V$6:$V$65,Ocupación!$W$6:$W$65,$C7)/SUMIFS(Ocupación!$U$6:$U$65,Ocupación!$W$6:$W$65,$C7),""))</f>
        <v>0.89034090909090913</v>
      </c>
    </row>
    <row r="8" spans="2:14" ht="26" customHeight="1" x14ac:dyDescent="0.2">
      <c r="C8" s="94" t="str">
        <f>IF(Configuración!B25="","",Configuración!B25)</f>
        <v>Mañana</v>
      </c>
      <c r="D8" s="95">
        <f>IF(Configuración!C25="","",Configuración!C25)</f>
        <v>0.375</v>
      </c>
      <c r="E8" s="96">
        <f>IF($C8="","",IFERROR(SUMIFS(Ocupación!$V$6:$V$65,Ocupación!$W$6:$W$65,$C8,Ocupación!$C$6:$C$65,E$6)/SUMIFS(Ocupación!$U$6:$U$65,Ocupación!$W$6:$W$65,$C8,Ocupación!$C$6:$C$65,E$6),""))</f>
        <v>0.78030303030303028</v>
      </c>
      <c r="F8" s="96">
        <f>IF($C8="","",IFERROR(SUMIFS(Ocupación!$V$6:$V$65,Ocupación!$W$6:$W$65,$C8,Ocupación!$C$6:$C$65,F$6)/SUMIFS(Ocupación!$U$6:$U$65,Ocupación!$W$6:$W$65,$C8,Ocupación!$C$6:$C$65,F$6),""))</f>
        <v>0.66287878787878796</v>
      </c>
      <c r="G8" s="96">
        <f>IF($C8="","",IFERROR(SUMIFS(Ocupación!$V$6:$V$65,Ocupación!$W$6:$W$65,$C8,Ocupación!$C$6:$C$65,G$6)/SUMIFS(Ocupación!$U$6:$U$65,Ocupación!$W$6:$W$65,$C8,Ocupación!$C$6:$C$65,G$6),""))</f>
        <v>0.77083333333333337</v>
      </c>
      <c r="H8" s="96">
        <f>IF($C8="","",IFERROR(SUMIFS(Ocupación!$V$6:$V$65,Ocupación!$W$6:$W$65,$C8,Ocupación!$C$6:$C$65,H$6)/SUMIFS(Ocupación!$U$6:$U$65,Ocupación!$W$6:$W$65,$C8,Ocupación!$C$6:$C$65,H$6),""))</f>
        <v>0.64393939393939403</v>
      </c>
      <c r="I8" s="96">
        <f>IF($C8="","",IFERROR(SUMIFS(Ocupación!$V$6:$V$65,Ocupación!$W$6:$W$65,$C8,Ocupación!$C$6:$C$65,I$6)/SUMIFS(Ocupación!$U$6:$U$65,Ocupación!$W$6:$W$65,$C8,Ocupación!$C$6:$C$65,I$6),""))</f>
        <v>0.6875</v>
      </c>
      <c r="J8" s="96">
        <f>IF($C8="","",IFERROR(SUMIFS(Ocupación!$V$6:$V$65,Ocupación!$W$6:$W$65,$C8,Ocupación!$C$6:$C$65,J$6)/SUMIFS(Ocupación!$U$6:$U$65,Ocupación!$W$6:$W$65,$C8,Ocupación!$C$6:$C$65,J$6),""))</f>
        <v>0.61363636363636365</v>
      </c>
      <c r="K8" s="96">
        <f>IF($C8="","",IFERROR(SUMIFS(Ocupación!$V$6:$V$65,Ocupación!$W$6:$W$65,$C8,Ocupación!$C$6:$C$65,K$6)/SUMIFS(Ocupación!$U$6:$U$65,Ocupación!$W$6:$W$65,$C8,Ocupación!$C$6:$C$65,K$6),""))</f>
        <v>0.37121212121212116</v>
      </c>
      <c r="L8" s="97">
        <f>IF($C8="","",IFERROR(SUMIFS(Ocupación!$V$6:$V$65,Ocupación!$W$6:$W$65,$C8)/SUMIFS(Ocupación!$U$6:$U$65,Ocupación!$W$6:$W$65,$C8),""))</f>
        <v>0.64375000000000004</v>
      </c>
    </row>
    <row r="9" spans="2:14" ht="26" customHeight="1" x14ac:dyDescent="0.2">
      <c r="C9" s="94" t="str">
        <f>IF(Configuración!B26="","",Configuración!B26)</f>
        <v>Mediodía</v>
      </c>
      <c r="D9" s="95">
        <f>IF(Configuración!C26="","",Configuración!C26)</f>
        <v>0.5</v>
      </c>
      <c r="E9" s="96">
        <f>IF($C9="","",IFERROR(SUMIFS(Ocupación!$V$6:$V$65,Ocupación!$W$6:$W$65,$C9,Ocupación!$C$6:$C$65,E$6)/SUMIFS(Ocupación!$U$6:$U$65,Ocupación!$W$6:$W$65,$C9,Ocupación!$C$6:$C$65,E$6),""))</f>
        <v>0.35795454545454547</v>
      </c>
      <c r="F9" s="96">
        <f>IF($C9="","",IFERROR(SUMIFS(Ocupación!$V$6:$V$65,Ocupación!$W$6:$W$65,$C9,Ocupación!$C$6:$C$65,F$6)/SUMIFS(Ocupación!$U$6:$U$65,Ocupación!$W$6:$W$65,$C9,Ocupación!$C$6:$C$65,F$6),""))</f>
        <v>0.31944444444444448</v>
      </c>
      <c r="G9" s="96">
        <f>IF($C9="","",IFERROR(SUMIFS(Ocupación!$V$6:$V$65,Ocupación!$W$6:$W$65,$C9,Ocupación!$C$6:$C$65,G$6)/SUMIFS(Ocupación!$U$6:$U$65,Ocupación!$W$6:$W$65,$C9,Ocupación!$C$6:$C$65,G$6),""))</f>
        <v>0.3125</v>
      </c>
      <c r="H9" s="96">
        <f>IF($C9="","",IFERROR(SUMIFS(Ocupación!$V$6:$V$65,Ocupación!$W$6:$W$65,$C9,Ocupación!$C$6:$C$65,H$6)/SUMIFS(Ocupación!$U$6:$U$65,Ocupación!$W$6:$W$65,$C9,Ocupación!$C$6:$C$65,H$6),""))</f>
        <v>0.27083333333333331</v>
      </c>
      <c r="I9" s="96" t="str">
        <f>IF($C9="","",IFERROR(SUMIFS(Ocupación!$V$6:$V$65,Ocupación!$W$6:$W$65,$C9,Ocupación!$C$6:$C$65,I$6)/SUMIFS(Ocupación!$U$6:$U$65,Ocupación!$W$6:$W$65,$C9,Ocupación!$C$6:$C$65,I$6),""))</f>
        <v/>
      </c>
      <c r="J9" s="96" t="str">
        <f>IF($C9="","",IFERROR(SUMIFS(Ocupación!$V$6:$V$65,Ocupación!$W$6:$W$65,$C9,Ocupación!$C$6:$C$65,J$6)/SUMIFS(Ocupación!$U$6:$U$65,Ocupación!$W$6:$W$65,$C9,Ocupación!$C$6:$C$65,J$6),""))</f>
        <v/>
      </c>
      <c r="K9" s="96" t="str">
        <f>IF($C9="","",IFERROR(SUMIFS(Ocupación!$V$6:$V$65,Ocupación!$W$6:$W$65,$C9,Ocupación!$C$6:$C$65,K$6)/SUMIFS(Ocupación!$U$6:$U$65,Ocupación!$W$6:$W$65,$C9,Ocupación!$C$6:$C$65,K$6),""))</f>
        <v/>
      </c>
      <c r="L9" s="97">
        <f>IF($C9="","",IFERROR(SUMIFS(Ocupación!$V$6:$V$65,Ocupación!$W$6:$W$65,$C9)/SUMIFS(Ocupación!$U$6:$U$65,Ocupación!$W$6:$W$65,$C9),""))</f>
        <v>0.31804653679653683</v>
      </c>
    </row>
    <row r="10" spans="2:14" ht="26" customHeight="1" x14ac:dyDescent="0.2">
      <c r="C10" s="94" t="str">
        <f>IF(Configuración!B27="","",Configuración!B27)</f>
        <v>Tarde</v>
      </c>
      <c r="D10" s="95">
        <f>IF(Configuración!C27="","",Configuración!C27)</f>
        <v>0.66666666666666663</v>
      </c>
      <c r="E10" s="96">
        <f>IF($C10="","",IFERROR(SUMIFS(Ocupación!$V$6:$V$65,Ocupación!$W$6:$W$65,$C10,Ocupación!$C$6:$C$65,E$6)/SUMIFS(Ocupación!$U$6:$U$65,Ocupación!$W$6:$W$65,$C10,Ocupación!$C$6:$C$65,E$6),""))</f>
        <v>0.70454545454545459</v>
      </c>
      <c r="F10" s="96" t="str">
        <f>IF($C10="","",IFERROR(SUMIFS(Ocupación!$V$6:$V$65,Ocupación!$W$6:$W$65,$C10,Ocupación!$C$6:$C$65,F$6)/SUMIFS(Ocupación!$U$6:$U$65,Ocupación!$W$6:$W$65,$C10,Ocupación!$C$6:$C$65,F$6),""))</f>
        <v/>
      </c>
      <c r="G10" s="96">
        <f>IF($C10="","",IFERROR(SUMIFS(Ocupación!$V$6:$V$65,Ocupación!$W$6:$W$65,$C10,Ocupación!$C$6:$C$65,G$6)/SUMIFS(Ocupación!$U$6:$U$65,Ocupación!$W$6:$W$65,$C10,Ocupación!$C$6:$C$65,G$6),""))</f>
        <v>0.6875</v>
      </c>
      <c r="H10" s="96" t="str">
        <f>IF($C10="","",IFERROR(SUMIFS(Ocupación!$V$6:$V$65,Ocupación!$W$6:$W$65,$C10,Ocupación!$C$6:$C$65,H$6)/SUMIFS(Ocupación!$U$6:$U$65,Ocupación!$W$6:$W$65,$C10,Ocupación!$C$6:$C$65,H$6),""))</f>
        <v/>
      </c>
      <c r="I10" s="96" t="str">
        <f>IF($C10="","",IFERROR(SUMIFS(Ocupación!$V$6:$V$65,Ocupación!$W$6:$W$65,$C10,Ocupación!$C$6:$C$65,I$6)/SUMIFS(Ocupación!$U$6:$U$65,Ocupación!$W$6:$W$65,$C10,Ocupación!$C$6:$C$65,I$6),""))</f>
        <v/>
      </c>
      <c r="J10" s="96" t="str">
        <f>IF($C10="","",IFERROR(SUMIFS(Ocupación!$V$6:$V$65,Ocupación!$W$6:$W$65,$C10,Ocupación!$C$6:$C$65,J$6)/SUMIFS(Ocupación!$U$6:$U$65,Ocupación!$W$6:$W$65,$C10,Ocupación!$C$6:$C$65,J$6),""))</f>
        <v/>
      </c>
      <c r="K10" s="96" t="str">
        <f>IF($C10="","",IFERROR(SUMIFS(Ocupación!$V$6:$V$65,Ocupación!$W$6:$W$65,$C10,Ocupación!$C$6:$C$65,K$6)/SUMIFS(Ocupación!$U$6:$U$65,Ocupación!$W$6:$W$65,$C10,Ocupación!$C$6:$C$65,K$6),""))</f>
        <v/>
      </c>
      <c r="L10" s="97">
        <f>IF($C10="","",IFERROR(SUMIFS(Ocupación!$V$6:$V$65,Ocupación!$W$6:$W$65,$C10)/SUMIFS(Ocupación!$U$6:$U$65,Ocupación!$W$6:$W$65,$C10),""))</f>
        <v>0.69602272727272718</v>
      </c>
    </row>
    <row r="11" spans="2:14" ht="26" customHeight="1" x14ac:dyDescent="0.2">
      <c r="C11" s="94" t="str">
        <f>IF(Configuración!B28="","",Configuración!B28)</f>
        <v>Tarde-noche</v>
      </c>
      <c r="D11" s="95">
        <f>IF(Configuración!C28="","",Configuración!C28)</f>
        <v>0.79166666666666663</v>
      </c>
      <c r="E11" s="96">
        <f>IF($C11="","",IFERROR(SUMIFS(Ocupación!$V$6:$V$65,Ocupación!$W$6:$W$65,$C11,Ocupación!$C$6:$C$65,E$6)/SUMIFS(Ocupación!$U$6:$U$65,Ocupación!$W$6:$W$65,$C11,Ocupación!$C$6:$C$65,E$6),""))</f>
        <v>0.77685950413223148</v>
      </c>
      <c r="F11" s="96">
        <f>IF($C11="","",IFERROR(SUMIFS(Ocupación!$V$6:$V$65,Ocupación!$W$6:$W$65,$C11,Ocupación!$C$6:$C$65,F$6)/SUMIFS(Ocupación!$U$6:$U$65,Ocupación!$W$6:$W$65,$C11,Ocupación!$C$6:$C$65,F$6),""))</f>
        <v>0.82916666666666661</v>
      </c>
      <c r="G11" s="96">
        <f>IF($C11="","",IFERROR(SUMIFS(Ocupación!$V$6:$V$65,Ocupación!$W$6:$W$65,$C11,Ocupación!$C$6:$C$65,G$6)/SUMIFS(Ocupación!$U$6:$U$65,Ocupación!$W$6:$W$65,$C11,Ocupación!$C$6:$C$65,G$6),""))</f>
        <v>0.76893939393939403</v>
      </c>
      <c r="H11" s="96">
        <f>IF($C11="","",IFERROR(SUMIFS(Ocupación!$V$6:$V$65,Ocupación!$W$6:$W$65,$C11,Ocupación!$C$6:$C$65,H$6)/SUMIFS(Ocupación!$U$6:$U$65,Ocupación!$W$6:$W$65,$C11,Ocupación!$C$6:$C$65,H$6),""))</f>
        <v>0.76875000000000004</v>
      </c>
      <c r="I11" s="96">
        <f>IF($C11="","",IFERROR(SUMIFS(Ocupación!$V$6:$V$65,Ocupación!$W$6:$W$65,$C11,Ocupación!$C$6:$C$65,I$6)/SUMIFS(Ocupación!$U$6:$U$65,Ocupación!$W$6:$W$65,$C11,Ocupación!$C$6:$C$65,I$6),""))</f>
        <v>0.6517857142857143</v>
      </c>
      <c r="J11" s="96" t="str">
        <f>IF($C11="","",IFERROR(SUMIFS(Ocupación!$V$6:$V$65,Ocupación!$W$6:$W$65,$C11,Ocupación!$C$6:$C$65,J$6)/SUMIFS(Ocupación!$U$6:$U$65,Ocupación!$W$6:$W$65,$C11,Ocupación!$C$6:$C$65,J$6),""))</f>
        <v/>
      </c>
      <c r="K11" s="96" t="str">
        <f>IF($C11="","",IFERROR(SUMIFS(Ocupación!$V$6:$V$65,Ocupación!$W$6:$W$65,$C11,Ocupación!$C$6:$C$65,K$6)/SUMIFS(Ocupación!$U$6:$U$65,Ocupación!$W$6:$W$65,$C11,Ocupación!$C$6:$C$65,K$6),""))</f>
        <v/>
      </c>
      <c r="L11" s="97">
        <f>IF($C11="","",IFERROR(SUMIFS(Ocupación!$V$6:$V$65,Ocupación!$W$6:$W$65,$C11)/SUMIFS(Ocupación!$U$6:$U$65,Ocupación!$W$6:$W$65,$C11),""))</f>
        <v>0.76623376623376627</v>
      </c>
    </row>
    <row r="12" spans="2:14" ht="26" customHeight="1" x14ac:dyDescent="0.2">
      <c r="C12" s="94" t="str">
        <f>IF(Configuración!B29="","",Configuración!B29)</f>
        <v>Noche</v>
      </c>
      <c r="D12" s="95">
        <f>IF(Configuración!C29="","",Configuración!C29)</f>
        <v>0.875</v>
      </c>
      <c r="E12" s="96" t="str">
        <f>IF($C12="","",IFERROR(SUMIFS(Ocupación!$V$6:$V$65,Ocupación!$W$6:$W$65,$C12,Ocupación!$C$6:$C$65,E$6)/SUMIFS(Ocupación!$U$6:$U$65,Ocupación!$W$6:$W$65,$C12,Ocupación!$C$6:$C$65,E$6),""))</f>
        <v/>
      </c>
      <c r="F12" s="96">
        <f>IF($C12="","",IFERROR(SUMIFS(Ocupación!$V$6:$V$65,Ocupación!$W$6:$W$65,$C12,Ocupación!$C$6:$C$65,F$6)/SUMIFS(Ocupación!$U$6:$U$65,Ocupación!$W$6:$W$65,$C12,Ocupación!$C$6:$C$65,F$6),""))</f>
        <v>0.625</v>
      </c>
      <c r="G12" s="96" t="str">
        <f>IF($C12="","",IFERROR(SUMIFS(Ocupación!$V$6:$V$65,Ocupación!$W$6:$W$65,$C12,Ocupación!$C$6:$C$65,G$6)/SUMIFS(Ocupación!$U$6:$U$65,Ocupación!$W$6:$W$65,$C12,Ocupación!$C$6:$C$65,G$6),""))</f>
        <v/>
      </c>
      <c r="H12" s="96">
        <f>IF($C12="","",IFERROR(SUMIFS(Ocupación!$V$6:$V$65,Ocupación!$W$6:$W$65,$C12,Ocupación!$C$6:$C$65,H$6)/SUMIFS(Ocupación!$U$6:$U$65,Ocupación!$W$6:$W$65,$C12,Ocupación!$C$6:$C$65,H$6),""))</f>
        <v>0.59895833333333337</v>
      </c>
      <c r="I12" s="96" t="str">
        <f>IF($C12="","",IFERROR(SUMIFS(Ocupación!$V$6:$V$65,Ocupación!$W$6:$W$65,$C12,Ocupación!$C$6:$C$65,I$6)/SUMIFS(Ocupación!$U$6:$U$65,Ocupación!$W$6:$W$65,$C12,Ocupación!$C$6:$C$65,I$6),""))</f>
        <v/>
      </c>
      <c r="J12" s="96" t="str">
        <f>IF($C12="","",IFERROR(SUMIFS(Ocupación!$V$6:$V$65,Ocupación!$W$6:$W$65,$C12,Ocupación!$C$6:$C$65,J$6)/SUMIFS(Ocupación!$U$6:$U$65,Ocupación!$W$6:$W$65,$C12,Ocupación!$C$6:$C$65,J$6),""))</f>
        <v/>
      </c>
      <c r="K12" s="96" t="str">
        <f>IF($C12="","",IFERROR(SUMIFS(Ocupación!$V$6:$V$65,Ocupación!$W$6:$W$65,$C12,Ocupación!$C$6:$C$65,K$6)/SUMIFS(Ocupación!$U$6:$U$65,Ocupación!$W$6:$W$65,$C12,Ocupación!$C$6:$C$65,K$6),""))</f>
        <v/>
      </c>
      <c r="L12" s="97">
        <f>IF($C12="","",IFERROR(SUMIFS(Ocupación!$V$6:$V$65,Ocupación!$W$6:$W$65,$C12)/SUMIFS(Ocupación!$U$6:$U$65,Ocupación!$W$6:$W$65,$C12),""))</f>
        <v>0.61197916666666674</v>
      </c>
    </row>
    <row r="13" spans="2:14" ht="26" customHeight="1" x14ac:dyDescent="0.2">
      <c r="C13" s="98" t="s">
        <v>147</v>
      </c>
      <c r="D13" s="99"/>
      <c r="E13" s="100">
        <f>IFERROR(SUMIFS(Ocupación!$V$6:$V$65,Ocupación!$C$6:$C$65,E$6)/SUMIFS(Ocupación!$U$6:$U$65,Ocupación!$C$6:$C$65,E$6),"")</f>
        <v>0.72454545454545449</v>
      </c>
      <c r="F13" s="100">
        <f>IFERROR(SUMIFS(Ocupación!$V$6:$V$65,Ocupación!$C$6:$C$65,F$6)/SUMIFS(Ocupación!$U$6:$U$65,Ocupación!$C$6:$C$65,F$6),"")</f>
        <v>0.71540880503144666</v>
      </c>
      <c r="G13" s="100">
        <f>IFERROR(SUMIFS(Ocupación!$V$6:$V$65,Ocupación!$C$6:$C$65,G$6)/SUMIFS(Ocupación!$U$6:$U$65,Ocupación!$C$6:$C$65,G$6),"")</f>
        <v>0.71333333333333326</v>
      </c>
      <c r="H13" s="100">
        <f>IFERROR(SUMIFS(Ocupación!$V$6:$V$65,Ocupación!$C$6:$C$65,H$6)/SUMIFS(Ocupación!$U$6:$U$65,Ocupación!$C$6:$C$65,H$6),"")</f>
        <v>0.67767295597484267</v>
      </c>
      <c r="I13" s="100">
        <f>IFERROR(SUMIFS(Ocupación!$V$6:$V$65,Ocupación!$C$6:$C$65,I$6)/SUMIFS(Ocupación!$U$6:$U$65,Ocupación!$C$6:$C$65,I$6),"")</f>
        <v>0.70833333333333326</v>
      </c>
      <c r="J13" s="100">
        <f>IFERROR(SUMIFS(Ocupación!$V$6:$V$65,Ocupación!$C$6:$C$65,J$6)/SUMIFS(Ocupación!$U$6:$U$65,Ocupación!$C$6:$C$65,J$6),"")</f>
        <v>0.61363636363636365</v>
      </c>
      <c r="K13" s="100">
        <f>IFERROR(SUMIFS(Ocupación!$V$6:$V$65,Ocupación!$C$6:$C$65,K$6)/SUMIFS(Ocupación!$U$6:$U$65,Ocupación!$C$6:$C$65,K$6),"")</f>
        <v>0.37121212121212116</v>
      </c>
      <c r="L13" s="101">
        <f>IFERROR(SUM(Ocupación!$V$6:$V$65)/SUM(Ocupación!$U$6:$U$65),"")</f>
        <v>0.69440467668814132</v>
      </c>
    </row>
    <row r="15" spans="2:14" ht="22" customHeight="1" x14ac:dyDescent="0.2">
      <c r="B15" s="92" t="s">
        <v>148</v>
      </c>
    </row>
    <row r="16" spans="2:14" ht="28" customHeight="1" x14ac:dyDescent="0.2">
      <c r="C16" s="79" t="s">
        <v>100</v>
      </c>
      <c r="D16" s="79"/>
      <c r="E16" s="79" t="s">
        <v>110</v>
      </c>
      <c r="F16" s="79" t="s">
        <v>111</v>
      </c>
      <c r="G16" s="79" t="s">
        <v>112</v>
      </c>
      <c r="H16" s="79" t="s">
        <v>113</v>
      </c>
      <c r="I16" s="79" t="s">
        <v>114</v>
      </c>
      <c r="J16" s="79" t="s">
        <v>115</v>
      </c>
      <c r="K16" s="79" t="s">
        <v>116</v>
      </c>
      <c r="L16" s="79" t="s">
        <v>146</v>
      </c>
    </row>
    <row r="17" spans="2:12" ht="17" customHeight="1" x14ac:dyDescent="0.2">
      <c r="C17" s="102" t="str">
        <f t="shared" ref="C17:C22" si="0">C7</f>
        <v>Primera hora</v>
      </c>
      <c r="D17" s="103"/>
      <c r="E17" s="104">
        <f>IF($C17="","",COUNTIFS(Clases!$L$6:$L$65,$C17,Clases!$C$6:$C$65,E$16))</f>
        <v>1</v>
      </c>
      <c r="F17" s="104">
        <f>IF($C17="","",COUNTIFS(Clases!$L$6:$L$65,$C17,Clases!$C$6:$C$65,F$16))</f>
        <v>1</v>
      </c>
      <c r="G17" s="104">
        <f>IF($C17="","",COUNTIFS(Clases!$L$6:$L$65,$C17,Clases!$C$6:$C$65,G$16))</f>
        <v>1</v>
      </c>
      <c r="H17" s="104">
        <f>IF($C17="","",COUNTIFS(Clases!$L$6:$L$65,$C17,Clases!$C$6:$C$65,H$16))</f>
        <v>1</v>
      </c>
      <c r="I17" s="104">
        <f>IF($C17="","",COUNTIFS(Clases!$L$6:$L$65,$C17,Clases!$C$6:$C$65,I$16))</f>
        <v>1</v>
      </c>
      <c r="J17" s="104">
        <f>IF($C17="","",COUNTIFS(Clases!$L$6:$L$65,$C17,Clases!$C$6:$C$65,J$16))</f>
        <v>0</v>
      </c>
      <c r="K17" s="104">
        <f>IF($C17="","",COUNTIFS(Clases!$L$6:$L$65,$C17,Clases!$C$6:$C$65,K$16))</f>
        <v>0</v>
      </c>
      <c r="L17" s="105">
        <f>IF($C17="","",COUNTIF(Clases!$L$6:$L$65,$C17))</f>
        <v>5</v>
      </c>
    </row>
    <row r="18" spans="2:12" ht="17" customHeight="1" x14ac:dyDescent="0.2">
      <c r="C18" s="102" t="str">
        <f t="shared" si="0"/>
        <v>Mañana</v>
      </c>
      <c r="D18" s="103"/>
      <c r="E18" s="104">
        <f>IF($C18="","",COUNTIFS(Clases!$L$6:$L$65,$C18,Clases!$C$6:$C$65,E$16))</f>
        <v>1</v>
      </c>
      <c r="F18" s="104">
        <f>IF($C18="","",COUNTIFS(Clases!$L$6:$L$65,$C18,Clases!$C$6:$C$65,F$16))</f>
        <v>2</v>
      </c>
      <c r="G18" s="104">
        <f>IF($C18="","",COUNTIFS(Clases!$L$6:$L$65,$C18,Clases!$C$6:$C$65,G$16))</f>
        <v>1</v>
      </c>
      <c r="H18" s="104">
        <f>IF($C18="","",COUNTIFS(Clases!$L$6:$L$65,$C18,Clases!$C$6:$C$65,H$16))</f>
        <v>2</v>
      </c>
      <c r="I18" s="104">
        <f>IF($C18="","",COUNTIFS(Clases!$L$6:$L$65,$C18,Clases!$C$6:$C$65,I$16))</f>
        <v>1</v>
      </c>
      <c r="J18" s="104">
        <f>IF($C18="","",COUNTIFS(Clases!$L$6:$L$65,$C18,Clases!$C$6:$C$65,J$16))</f>
        <v>2</v>
      </c>
      <c r="K18" s="104">
        <f>IF($C18="","",COUNTIFS(Clases!$L$6:$L$65,$C18,Clases!$C$6:$C$65,K$16))</f>
        <v>1</v>
      </c>
      <c r="L18" s="105">
        <f>IF($C18="","",COUNTIF(Clases!$L$6:$L$65,$C18))</f>
        <v>10</v>
      </c>
    </row>
    <row r="19" spans="2:12" ht="17" customHeight="1" x14ac:dyDescent="0.2">
      <c r="C19" s="102" t="str">
        <f t="shared" si="0"/>
        <v>Mediodía</v>
      </c>
      <c r="D19" s="103"/>
      <c r="E19" s="104">
        <f>IF($C19="","",COUNTIFS(Clases!$L$6:$L$65,$C19,Clases!$C$6:$C$65,E$16))</f>
        <v>1</v>
      </c>
      <c r="F19" s="104">
        <f>IF($C19="","",COUNTIFS(Clases!$L$6:$L$65,$C19,Clases!$C$6:$C$65,F$16))</f>
        <v>1</v>
      </c>
      <c r="G19" s="104">
        <f>IF($C19="","",COUNTIFS(Clases!$L$6:$L$65,$C19,Clases!$C$6:$C$65,G$16))</f>
        <v>1</v>
      </c>
      <c r="H19" s="104">
        <f>IF($C19="","",COUNTIFS(Clases!$L$6:$L$65,$C19,Clases!$C$6:$C$65,H$16))</f>
        <v>1</v>
      </c>
      <c r="I19" s="104">
        <f>IF($C19="","",COUNTIFS(Clases!$L$6:$L$65,$C19,Clases!$C$6:$C$65,I$16))</f>
        <v>0</v>
      </c>
      <c r="J19" s="104">
        <f>IF($C19="","",COUNTIFS(Clases!$L$6:$L$65,$C19,Clases!$C$6:$C$65,J$16))</f>
        <v>0</v>
      </c>
      <c r="K19" s="104">
        <f>IF($C19="","",COUNTIFS(Clases!$L$6:$L$65,$C19,Clases!$C$6:$C$65,K$16))</f>
        <v>0</v>
      </c>
      <c r="L19" s="105">
        <f>IF($C19="","",COUNTIF(Clases!$L$6:$L$65,$C19))</f>
        <v>4</v>
      </c>
    </row>
    <row r="20" spans="2:12" ht="17" customHeight="1" x14ac:dyDescent="0.2">
      <c r="C20" s="102" t="str">
        <f t="shared" si="0"/>
        <v>Tarde</v>
      </c>
      <c r="D20" s="103"/>
      <c r="E20" s="104">
        <f>IF($C20="","",COUNTIFS(Clases!$L$6:$L$65,$C20,Clases!$C$6:$C$65,E$16))</f>
        <v>1</v>
      </c>
      <c r="F20" s="104">
        <f>IF($C20="","",COUNTIFS(Clases!$L$6:$L$65,$C20,Clases!$C$6:$C$65,F$16))</f>
        <v>0</v>
      </c>
      <c r="G20" s="104">
        <f>IF($C20="","",COUNTIFS(Clases!$L$6:$L$65,$C20,Clases!$C$6:$C$65,G$16))</f>
        <v>1</v>
      </c>
      <c r="H20" s="104">
        <f>IF($C20="","",COUNTIFS(Clases!$L$6:$L$65,$C20,Clases!$C$6:$C$65,H$16))</f>
        <v>0</v>
      </c>
      <c r="I20" s="104">
        <f>IF($C20="","",COUNTIFS(Clases!$L$6:$L$65,$C20,Clases!$C$6:$C$65,I$16))</f>
        <v>0</v>
      </c>
      <c r="J20" s="104">
        <f>IF($C20="","",COUNTIFS(Clases!$L$6:$L$65,$C20,Clases!$C$6:$C$65,J$16))</f>
        <v>0</v>
      </c>
      <c r="K20" s="104">
        <f>IF($C20="","",COUNTIFS(Clases!$L$6:$L$65,$C20,Clases!$C$6:$C$65,K$16))</f>
        <v>0</v>
      </c>
      <c r="L20" s="105">
        <f>IF($C20="","",COUNTIF(Clases!$L$6:$L$65,$C20))</f>
        <v>2</v>
      </c>
    </row>
    <row r="21" spans="2:12" ht="17" customHeight="1" x14ac:dyDescent="0.2">
      <c r="C21" s="102" t="str">
        <f t="shared" si="0"/>
        <v>Tarde-noche</v>
      </c>
      <c r="D21" s="103"/>
      <c r="E21" s="104">
        <f>IF($C21="","",COUNTIFS(Clases!$L$6:$L$65,$C21,Clases!$C$6:$C$65,E$16))</f>
        <v>3</v>
      </c>
      <c r="F21" s="104">
        <f>IF($C21="","",COUNTIFS(Clases!$L$6:$L$65,$C21,Clases!$C$6:$C$65,F$16))</f>
        <v>3</v>
      </c>
      <c r="G21" s="104">
        <f>IF($C21="","",COUNTIFS(Clases!$L$6:$L$65,$C21,Clases!$C$6:$C$65,G$16))</f>
        <v>3</v>
      </c>
      <c r="H21" s="104">
        <f>IF($C21="","",COUNTIFS(Clases!$L$6:$L$65,$C21,Clases!$C$6:$C$65,H$16))</f>
        <v>3</v>
      </c>
      <c r="I21" s="104">
        <f>IF($C21="","",COUNTIFS(Clases!$L$6:$L$65,$C21,Clases!$C$6:$C$65,I$16))</f>
        <v>2</v>
      </c>
      <c r="J21" s="104">
        <f>IF($C21="","",COUNTIFS(Clases!$L$6:$L$65,$C21,Clases!$C$6:$C$65,J$16))</f>
        <v>0</v>
      </c>
      <c r="K21" s="104">
        <f>IF($C21="","",COUNTIFS(Clases!$L$6:$L$65,$C21,Clases!$C$6:$C$65,K$16))</f>
        <v>0</v>
      </c>
      <c r="L21" s="105">
        <f>IF($C21="","",COUNTIF(Clases!$L$6:$L$65,$C21))</f>
        <v>14</v>
      </c>
    </row>
    <row r="22" spans="2:12" ht="17" customHeight="1" x14ac:dyDescent="0.2">
      <c r="C22" s="102" t="str">
        <f t="shared" si="0"/>
        <v>Noche</v>
      </c>
      <c r="D22" s="103"/>
      <c r="E22" s="104">
        <f>IF($C22="","",COUNTIFS(Clases!$L$6:$L$65,$C22,Clases!$C$6:$C$65,E$16))</f>
        <v>0</v>
      </c>
      <c r="F22" s="104">
        <f>IF($C22="","",COUNTIFS(Clases!$L$6:$L$65,$C22,Clases!$C$6:$C$65,F$16))</f>
        <v>1</v>
      </c>
      <c r="G22" s="104">
        <f>IF($C22="","",COUNTIFS(Clases!$L$6:$L$65,$C22,Clases!$C$6:$C$65,G$16))</f>
        <v>0</v>
      </c>
      <c r="H22" s="104">
        <f>IF($C22="","",COUNTIFS(Clases!$L$6:$L$65,$C22,Clases!$C$6:$C$65,H$16))</f>
        <v>1</v>
      </c>
      <c r="I22" s="104">
        <f>IF($C22="","",COUNTIFS(Clases!$L$6:$L$65,$C22,Clases!$C$6:$C$65,I$16))</f>
        <v>0</v>
      </c>
      <c r="J22" s="104">
        <f>IF($C22="","",COUNTIFS(Clases!$L$6:$L$65,$C22,Clases!$C$6:$C$65,J$16))</f>
        <v>0</v>
      </c>
      <c r="K22" s="104">
        <f>IF($C22="","",COUNTIFS(Clases!$L$6:$L$65,$C22,Clases!$C$6:$C$65,K$16))</f>
        <v>0</v>
      </c>
      <c r="L22" s="105">
        <f>IF($C22="","",COUNTIF(Clases!$L$6:$L$65,$C22))</f>
        <v>2</v>
      </c>
    </row>
    <row r="23" spans="2:12" x14ac:dyDescent="0.2">
      <c r="C23" s="106" t="s">
        <v>149</v>
      </c>
      <c r="D23" s="99"/>
      <c r="E23" s="107">
        <f t="shared" ref="E23:L23" si="1">SUM(E17:E22)</f>
        <v>7</v>
      </c>
      <c r="F23" s="107">
        <f t="shared" si="1"/>
        <v>8</v>
      </c>
      <c r="G23" s="107">
        <f t="shared" si="1"/>
        <v>7</v>
      </c>
      <c r="H23" s="107">
        <f t="shared" si="1"/>
        <v>8</v>
      </c>
      <c r="I23" s="107">
        <f t="shared" si="1"/>
        <v>4</v>
      </c>
      <c r="J23" s="107">
        <f t="shared" si="1"/>
        <v>2</v>
      </c>
      <c r="K23" s="107">
        <f t="shared" si="1"/>
        <v>1</v>
      </c>
      <c r="L23" s="107">
        <f t="shared" si="1"/>
        <v>37</v>
      </c>
    </row>
    <row r="25" spans="2:12" ht="22" customHeight="1" x14ac:dyDescent="0.2">
      <c r="B25" s="92" t="s">
        <v>150</v>
      </c>
    </row>
    <row r="26" spans="2:12" ht="32" customHeight="1" x14ac:dyDescent="0.2">
      <c r="B26" s="79"/>
      <c r="C26" s="79" t="s">
        <v>74</v>
      </c>
      <c r="D26" s="79" t="s">
        <v>91</v>
      </c>
      <c r="E26" s="79" t="s">
        <v>98</v>
      </c>
      <c r="F26" s="79" t="s">
        <v>151</v>
      </c>
      <c r="G26" s="79" t="s">
        <v>121</v>
      </c>
      <c r="H26" s="79" t="s">
        <v>133</v>
      </c>
      <c r="I26" s="79" t="s">
        <v>152</v>
      </c>
      <c r="J26" s="79" t="s">
        <v>153</v>
      </c>
    </row>
    <row r="27" spans="2:12" ht="18" customHeight="1" x14ac:dyDescent="0.2">
      <c r="B27" s="108">
        <v>1</v>
      </c>
      <c r="C27" s="94" t="str">
        <f>IF(Configuración!F26="","",Configuración!F26)</f>
        <v>Cross training</v>
      </c>
      <c r="D27" s="109">
        <f>IF($C27="","",COUNTIF(Clases!$E$6:$E$65,$C27))</f>
        <v>12</v>
      </c>
      <c r="E27" s="109">
        <f>IF($C27="","",SUMIF(Clases!$E$6:$E$65,$C27,Clases!$I$6:$I$65))</f>
        <v>192</v>
      </c>
      <c r="F27" s="37">
        <f>IF($C27="","",SUMIF(Ocupación!$E$6:$E$65,$C27,Ocupación!$V$6:$V$65))</f>
        <v>159.96212121212119</v>
      </c>
      <c r="G27" s="80">
        <f>IF($C27="","",IFERROR(F27/SUMIF(Ocupación!$E$6:$E$65,$C27,Ocupación!$U$6:$U$65),""))</f>
        <v>0.8331360479797979</v>
      </c>
      <c r="H27" s="110">
        <f>IF($C27="","",SUMIF(Ocupación!$E$6:$E$65,$C27,Ocupación!$P$6:$P$65))</f>
        <v>1101.9612794612797</v>
      </c>
      <c r="I27" s="110">
        <f>IF($C27="","",SUMIFS(Ocupación!$Q$6:$Q$65,Ocupación!$E$6:$E$65,$C27,Ocupación!$U$6:$U$65,"&gt;0"))</f>
        <v>218</v>
      </c>
      <c r="J27" s="110">
        <f t="shared" ref="J27:J38" si="2">IF($C27="","",H27-I27)</f>
        <v>883.96127946127967</v>
      </c>
    </row>
    <row r="28" spans="2:12" ht="18" customHeight="1" x14ac:dyDescent="0.2">
      <c r="B28" s="111">
        <v>2</v>
      </c>
      <c r="C28" s="112" t="str">
        <f>IF(Configuración!F27="","",Configuración!F27)</f>
        <v>HIIT</v>
      </c>
      <c r="D28" s="113">
        <f>IF($C28="","",COUNTIF(Clases!$E$6:$E$65,$C28))</f>
        <v>2</v>
      </c>
      <c r="E28" s="113">
        <f>IF($C28="","",SUMIF(Clases!$E$6:$E$65,$C28,Clases!$I$6:$I$65))</f>
        <v>32</v>
      </c>
      <c r="F28" s="87">
        <f>IF($C28="","",SUMIF(Ocupación!$E$6:$E$65,$C28,Ocupación!$V$6:$V$65))</f>
        <v>10.727272727272727</v>
      </c>
      <c r="G28" s="88">
        <f>IF($C28="","",IFERROR(F28/SUMIF(Ocupación!$E$6:$E$65,$C28,Ocupación!$U$6:$U$65),""))</f>
        <v>0.33522727272727271</v>
      </c>
      <c r="H28" s="114">
        <f>IF($C28="","",SUMIF(Ocupación!$E$6:$E$65,$C28,Ocupación!$P$6:$P$65))</f>
        <v>73.898989898989896</v>
      </c>
      <c r="I28" s="114">
        <f>IF($C28="","",SUMIFS(Ocupación!$Q$6:$Q$65,Ocupación!$E$6:$E$65,$C28,Ocupación!$U$6:$U$65,"&gt;0"))</f>
        <v>24</v>
      </c>
      <c r="J28" s="114">
        <f t="shared" si="2"/>
        <v>49.898989898989896</v>
      </c>
    </row>
    <row r="29" spans="2:12" ht="18" customHeight="1" x14ac:dyDescent="0.2">
      <c r="B29" s="115">
        <v>3</v>
      </c>
      <c r="C29" s="94" t="str">
        <f>IF(Configuración!F28="","",Configuración!F28)</f>
        <v>Pilates</v>
      </c>
      <c r="D29" s="109">
        <f>IF($C29="","",COUNTIF(Clases!$E$6:$E$65,$C29))</f>
        <v>7</v>
      </c>
      <c r="E29" s="109">
        <f>IF($C29="","",SUMIF(Clases!$E$6:$E$65,$C29,Clases!$I$6:$I$65))</f>
        <v>84</v>
      </c>
      <c r="F29" s="37">
        <f>IF($C29="","",SUMIF(Ocupación!$E$6:$E$65,$C29,Ocupación!$V$6:$V$65))</f>
        <v>63.56818181818182</v>
      </c>
      <c r="G29" s="80">
        <f>IF($C29="","",IFERROR(F29/SUMIF(Ocupación!$E$6:$E$65,$C29,Ocupación!$U$6:$U$65),""))</f>
        <v>0.75676406926406925</v>
      </c>
      <c r="H29" s="110">
        <f>IF($C29="","",SUMIF(Ocupación!$E$6:$E$65,$C29,Ocupación!$P$6:$P$65))</f>
        <v>437.9141414141414</v>
      </c>
      <c r="I29" s="110">
        <f>IF($C29="","",SUMIFS(Ocupación!$Q$6:$Q$65,Ocupación!$E$6:$E$65,$C29,Ocupación!$U$6:$U$65,"&gt;0"))</f>
        <v>141.16666666666669</v>
      </c>
      <c r="J29" s="110">
        <f t="shared" si="2"/>
        <v>296.74747474747471</v>
      </c>
    </row>
    <row r="30" spans="2:12" ht="18" customHeight="1" x14ac:dyDescent="0.2">
      <c r="B30" s="116">
        <v>4</v>
      </c>
      <c r="C30" s="112" t="str">
        <f>IF(Configuración!F29="","",Configuración!F29)</f>
        <v>Yoga</v>
      </c>
      <c r="D30" s="113">
        <f>IF($C30="","",COUNTIF(Clases!$E$6:$E$65,$C30))</f>
        <v>3</v>
      </c>
      <c r="E30" s="113">
        <f>IF($C30="","",SUMIF(Clases!$E$6:$E$65,$C30,Clases!$I$6:$I$65))</f>
        <v>36</v>
      </c>
      <c r="F30" s="87">
        <f>IF($C30="","",SUMIF(Ocupación!$E$6:$E$65,$C30,Ocupación!$V$6:$V$65))</f>
        <v>22.462121212121215</v>
      </c>
      <c r="G30" s="88">
        <f>IF($C30="","",IFERROR(F30/SUMIF(Ocupación!$E$6:$E$65,$C30,Ocupación!$U$6:$U$65),""))</f>
        <v>0.62394781144781153</v>
      </c>
      <c r="H30" s="114">
        <f>IF($C30="","",SUMIF(Ocupación!$E$6:$E$65,$C30,Ocupación!$P$6:$P$65))</f>
        <v>154.73905723905725</v>
      </c>
      <c r="I30" s="114">
        <f>IF($C30="","",SUMIFS(Ocupación!$Q$6:$Q$65,Ocupación!$E$6:$E$65,$C30,Ocupación!$U$6:$U$65,"&gt;0"))</f>
        <v>51</v>
      </c>
      <c r="J30" s="114">
        <f t="shared" si="2"/>
        <v>103.73905723905725</v>
      </c>
    </row>
    <row r="31" spans="2:12" ht="18" customHeight="1" x14ac:dyDescent="0.2">
      <c r="B31" s="117">
        <v>5</v>
      </c>
      <c r="C31" s="94" t="str">
        <f>IF(Configuración!F30="","",Configuración!F30)</f>
        <v>Ciclo indoor</v>
      </c>
      <c r="D31" s="109">
        <f>IF($C31="","",COUNTIF(Clases!$E$6:$E$65,$C31))</f>
        <v>3</v>
      </c>
      <c r="E31" s="109">
        <f>IF($C31="","",SUMIF(Clases!$E$6:$E$65,$C31,Clases!$I$6:$I$65))</f>
        <v>36</v>
      </c>
      <c r="F31" s="37">
        <f>IF($C31="","",SUMIF(Ocupación!$E$6:$E$65,$C31,Ocupación!$V$6:$V$65))</f>
        <v>28.916666666666668</v>
      </c>
      <c r="G31" s="80">
        <f>IF($C31="","",IFERROR(F31/SUMIF(Ocupación!$E$6:$E$65,$C31,Ocupación!$U$6:$U$65),""))</f>
        <v>0.80324074074074081</v>
      </c>
      <c r="H31" s="110">
        <f>IF($C31="","",SUMIF(Ocupación!$E$6:$E$65,$C31,Ocupación!$P$6:$P$65))</f>
        <v>199.20370370370375</v>
      </c>
      <c r="I31" s="110">
        <f>IF($C31="","",SUMIFS(Ocupación!$Q$6:$Q$65,Ocupación!$E$6:$E$65,$C31,Ocupación!$U$6:$U$65,"&gt;0"))</f>
        <v>36</v>
      </c>
      <c r="J31" s="110">
        <f t="shared" si="2"/>
        <v>163.20370370370375</v>
      </c>
    </row>
    <row r="32" spans="2:12" ht="18" customHeight="1" x14ac:dyDescent="0.2">
      <c r="B32" s="118">
        <v>6</v>
      </c>
      <c r="C32" s="112" t="str">
        <f>IF(Configuración!F31="","",Configuración!F31)</f>
        <v>Movilidad</v>
      </c>
      <c r="D32" s="113">
        <f>IF($C32="","",COUNTIF(Clases!$E$6:$E$65,$C32))</f>
        <v>3</v>
      </c>
      <c r="E32" s="113">
        <f>IF($C32="","",SUMIF(Clases!$E$6:$E$65,$C32,Clases!$I$6:$I$65))</f>
        <v>36</v>
      </c>
      <c r="F32" s="87">
        <f>IF($C32="","",SUMIF(Ocupación!$E$6:$E$65,$C32,Ocupación!$V$6:$V$65))</f>
        <v>16.287878787878785</v>
      </c>
      <c r="G32" s="88">
        <f>IF($C32="","",IFERROR(F32/SUMIF(Ocupación!$E$6:$E$65,$C32,Ocupación!$U$6:$U$65),""))</f>
        <v>0.45244107744107737</v>
      </c>
      <c r="H32" s="114">
        <f>IF($C32="","",SUMIF(Ocupación!$E$6:$E$65,$C32,Ocupación!$P$6:$P$65))</f>
        <v>112.20538720538721</v>
      </c>
      <c r="I32" s="114">
        <f>IF($C32="","",SUMIFS(Ocupación!$Q$6:$Q$65,Ocupación!$E$6:$E$65,$C32,Ocupación!$U$6:$U$65,"&gt;0"))</f>
        <v>38.25</v>
      </c>
      <c r="J32" s="114">
        <f t="shared" si="2"/>
        <v>73.955387205387211</v>
      </c>
    </row>
    <row r="33" spans="2:10" ht="18" customHeight="1" x14ac:dyDescent="0.2">
      <c r="B33" s="119">
        <v>7</v>
      </c>
      <c r="C33" s="94" t="str">
        <f>IF(Configuración!F32="","",Configuración!F32)</f>
        <v>Open box</v>
      </c>
      <c r="D33" s="109">
        <f>IF($C33="","",COUNTIF(Clases!$E$6:$E$65,$C33))</f>
        <v>1</v>
      </c>
      <c r="E33" s="109">
        <f>IF($C33="","",SUMIF(Clases!$E$6:$E$65,$C33,Clases!$I$6:$I$65))</f>
        <v>16</v>
      </c>
      <c r="F33" s="37">
        <f>IF($C33="","",SUMIF(Ocupación!$E$6:$E$65,$C33,Ocupación!$V$6:$V$65))</f>
        <v>10.636363636363637</v>
      </c>
      <c r="G33" s="80">
        <f>IF($C33="","",IFERROR(F33/SUMIF(Ocupación!$E$6:$E$65,$C33,Ocupación!$U$6:$U$65),""))</f>
        <v>0.66477272727272729</v>
      </c>
      <c r="H33" s="110">
        <f>IF($C33="","",SUMIF(Ocupación!$E$6:$E$65,$C33,Ocupación!$P$6:$P$65))</f>
        <v>73.27272727272728</v>
      </c>
      <c r="I33" s="110">
        <f>IF($C33="","",SUMIFS(Ocupación!$Q$6:$Q$65,Ocupación!$E$6:$E$65,$C33,Ocupación!$U$6:$U$65,"&gt;0"))</f>
        <v>30</v>
      </c>
      <c r="J33" s="110">
        <f t="shared" si="2"/>
        <v>43.27272727272728</v>
      </c>
    </row>
    <row r="34" spans="2:10" ht="18" customHeight="1" x14ac:dyDescent="0.2">
      <c r="B34" s="120">
        <v>8</v>
      </c>
      <c r="C34" s="112" t="str">
        <f>IF(Configuración!F33="","",Configuración!F33)</f>
        <v>Halterofilia</v>
      </c>
      <c r="D34" s="113">
        <f>IF($C34="","",COUNTIF(Clases!$E$6:$E$65,$C34))</f>
        <v>2</v>
      </c>
      <c r="E34" s="113">
        <f>IF($C34="","",SUMIF(Clases!$E$6:$E$65,$C34,Clases!$I$6:$I$65))</f>
        <v>32</v>
      </c>
      <c r="F34" s="87">
        <f>IF($C34="","",SUMIF(Ocupación!$E$6:$E$65,$C34,Ocupación!$V$6:$V$65))</f>
        <v>16.196969696969695</v>
      </c>
      <c r="G34" s="88">
        <f>IF($C34="","",IFERROR(F34/SUMIF(Ocupación!$E$6:$E$65,$C34,Ocupación!$U$6:$U$65),""))</f>
        <v>0.50615530303030298</v>
      </c>
      <c r="H34" s="114">
        <f>IF($C34="","",SUMIF(Ocupación!$E$6:$E$65,$C34,Ocupación!$P$6:$P$65))</f>
        <v>111.57912457912458</v>
      </c>
      <c r="I34" s="114">
        <f>IF($C34="","",SUMIFS(Ocupación!$Q$6:$Q$65,Ocupación!$E$6:$E$65,$C34,Ocupación!$U$6:$U$65,"&gt;0"))</f>
        <v>40</v>
      </c>
      <c r="J34" s="114">
        <f t="shared" si="2"/>
        <v>71.579124579124581</v>
      </c>
    </row>
    <row r="35" spans="2:10" ht="18" customHeight="1" x14ac:dyDescent="0.2">
      <c r="B35" s="121">
        <v>9</v>
      </c>
      <c r="C35" s="94" t="str">
        <f>IF(Configuración!F34="","",Configuración!F34)</f>
        <v>Core exprés</v>
      </c>
      <c r="D35" s="109">
        <f>IF($C35="","",COUNTIF(Clases!$E$6:$E$65,$C35))</f>
        <v>2</v>
      </c>
      <c r="E35" s="109">
        <f>IF($C35="","",SUMIF(Clases!$E$6:$E$65,$C35,Clases!$I$6:$I$65))</f>
        <v>24</v>
      </c>
      <c r="F35" s="37">
        <f>IF($C35="","",SUMIF(Ocupación!$E$6:$E$65,$C35,Ocupación!$V$6:$V$65))</f>
        <v>7.0833333333333339</v>
      </c>
      <c r="G35" s="80">
        <f>IF($C35="","",IFERROR(F35/SUMIF(Ocupación!$E$6:$E$65,$C35,Ocupación!$U$6:$U$65),""))</f>
        <v>0.2951388888888889</v>
      </c>
      <c r="H35" s="110">
        <f>IF($C35="","",SUMIF(Ocupación!$E$6:$E$65,$C35,Ocupación!$P$6:$P$65))</f>
        <v>48.796296296296298</v>
      </c>
      <c r="I35" s="110">
        <f>IF($C35="","",SUMIFS(Ocupación!$Q$6:$Q$65,Ocupación!$E$6:$E$65,$C35,Ocupación!$U$6:$U$65,"&gt;0"))</f>
        <v>16</v>
      </c>
      <c r="J35" s="110">
        <f t="shared" si="2"/>
        <v>32.796296296296298</v>
      </c>
    </row>
    <row r="36" spans="2:10" ht="18" customHeight="1" x14ac:dyDescent="0.2">
      <c r="B36" s="122">
        <v>10</v>
      </c>
      <c r="C36" s="112" t="str">
        <f>IF(Configuración!F35="","",Configuración!F35)</f>
        <v>Funcional sénior</v>
      </c>
      <c r="D36" s="113">
        <f>IF($C36="","",COUNTIF(Clases!$E$6:$E$65,$C36))</f>
        <v>2</v>
      </c>
      <c r="E36" s="113">
        <f>IF($C36="","",SUMIF(Clases!$E$6:$E$65,$C36,Clases!$I$6:$I$65))</f>
        <v>20</v>
      </c>
      <c r="F36" s="87">
        <f>IF($C36="","",SUMIF(Ocupación!$E$6:$E$65,$C36,Ocupación!$V$6:$V$65))</f>
        <v>16.916666666666668</v>
      </c>
      <c r="G36" s="88">
        <f>IF($C36="","",IFERROR(F36/SUMIF(Ocupación!$E$6:$E$65,$C36,Ocupación!$U$6:$U$65),""))</f>
        <v>0.84583333333333344</v>
      </c>
      <c r="H36" s="114">
        <f>IF($C36="","",SUMIF(Ocupación!$E$6:$E$65,$C36,Ocupación!$P$6:$P$65))</f>
        <v>116.53703703703705</v>
      </c>
      <c r="I36" s="114">
        <f>IF($C36="","",SUMIFS(Ocupación!$Q$6:$Q$65,Ocupación!$E$6:$E$65,$C36,Ocupación!$U$6:$U$65,"&gt;0"))</f>
        <v>33.333333333333336</v>
      </c>
      <c r="J36" s="114">
        <f t="shared" si="2"/>
        <v>83.203703703703724</v>
      </c>
    </row>
    <row r="37" spans="2:10" ht="18" customHeight="1" x14ac:dyDescent="0.2">
      <c r="B37" s="123">
        <v>11</v>
      </c>
      <c r="C37" s="94" t="str">
        <f>IF(Configuración!F36="","",Configuración!F36)</f>
        <v/>
      </c>
      <c r="D37" s="109" t="str">
        <f>IF($C37="","",COUNTIF(Clases!$E$6:$E$65,$C37))</f>
        <v/>
      </c>
      <c r="E37" s="109" t="str">
        <f>IF($C37="","",SUMIF(Clases!$E$6:$E$65,$C37,Clases!$I$6:$I$65))</f>
        <v/>
      </c>
      <c r="F37" s="37" t="str">
        <f>IF($C37="","",SUMIF(Ocupación!$E$6:$E$65,$C37,Ocupación!$V$6:$V$65))</f>
        <v/>
      </c>
      <c r="G37" s="80" t="str">
        <f>IF($C37="","",IFERROR(F37/SUMIF(Ocupación!$E$6:$E$65,$C37,Ocupación!$U$6:$U$65),""))</f>
        <v/>
      </c>
      <c r="H37" s="110" t="str">
        <f>IF($C37="","",SUMIF(Ocupación!$E$6:$E$65,$C37,Ocupación!$P$6:$P$65))</f>
        <v/>
      </c>
      <c r="I37" s="110" t="str">
        <f>IF($C37="","",SUMIFS(Ocupación!$Q$6:$Q$65,Ocupación!$E$6:$E$65,$C37,Ocupación!$U$6:$U$65,"&gt;0"))</f>
        <v/>
      </c>
      <c r="J37" s="110" t="str">
        <f t="shared" si="2"/>
        <v/>
      </c>
    </row>
    <row r="38" spans="2:10" ht="18" customHeight="1" x14ac:dyDescent="0.2">
      <c r="B38" s="124">
        <v>12</v>
      </c>
      <c r="C38" s="112" t="str">
        <f>IF(Configuración!F37="","",Configuración!F37)</f>
        <v/>
      </c>
      <c r="D38" s="113" t="str">
        <f>IF($C38="","",COUNTIF(Clases!$E$6:$E$65,$C38))</f>
        <v/>
      </c>
      <c r="E38" s="113" t="str">
        <f>IF($C38="","",SUMIF(Clases!$E$6:$E$65,$C38,Clases!$I$6:$I$65))</f>
        <v/>
      </c>
      <c r="F38" s="87" t="str">
        <f>IF($C38="","",SUMIF(Ocupación!$E$6:$E$65,$C38,Ocupación!$V$6:$V$65))</f>
        <v/>
      </c>
      <c r="G38" s="88" t="str">
        <f>IF($C38="","",IFERROR(F38/SUMIF(Ocupación!$E$6:$E$65,$C38,Ocupación!$U$6:$U$65),""))</f>
        <v/>
      </c>
      <c r="H38" s="114" t="str">
        <f>IF($C38="","",SUMIF(Ocupación!$E$6:$E$65,$C38,Ocupación!$P$6:$P$65))</f>
        <v/>
      </c>
      <c r="I38" s="114" t="str">
        <f>IF($C38="","",SUMIFS(Ocupación!$Q$6:$Q$65,Ocupación!$E$6:$E$65,$C38,Ocupación!$U$6:$U$65,"&gt;0"))</f>
        <v/>
      </c>
      <c r="J38" s="114" t="str">
        <f t="shared" si="2"/>
        <v/>
      </c>
    </row>
    <row r="39" spans="2:10" ht="20" customHeight="1" x14ac:dyDescent="0.2">
      <c r="B39" s="125"/>
      <c r="C39" s="126" t="s">
        <v>149</v>
      </c>
      <c r="D39" s="127">
        <f>SUM(D27:D38)</f>
        <v>37</v>
      </c>
      <c r="E39" s="127">
        <f>SUM(E27:E38)</f>
        <v>508</v>
      </c>
      <c r="F39" s="128">
        <f>SUM(F27:F38)</f>
        <v>352.75757575757575</v>
      </c>
      <c r="G39" s="129">
        <f>IFERROR(F39/SUM(Ocupación!$U$6:$U$65),"")</f>
        <v>0.69440467668814121</v>
      </c>
      <c r="H39" s="130">
        <f>SUM(H27:H38)</f>
        <v>2430.1077441077441</v>
      </c>
      <c r="I39" s="130">
        <f>SUM(I27:I38)</f>
        <v>627.75000000000011</v>
      </c>
      <c r="J39" s="130">
        <f>SUM(J27:J38)</f>
        <v>1802.3577441077441</v>
      </c>
    </row>
    <row r="41" spans="2:10" ht="22" customHeight="1" x14ac:dyDescent="0.2">
      <c r="B41" s="92" t="s">
        <v>154</v>
      </c>
    </row>
    <row r="42" spans="2:10" ht="32" customHeight="1" x14ac:dyDescent="0.2">
      <c r="C42" s="79" t="s">
        <v>55</v>
      </c>
      <c r="D42" s="79" t="s">
        <v>91</v>
      </c>
      <c r="E42" s="79" t="s">
        <v>155</v>
      </c>
      <c r="F42" s="79" t="s">
        <v>151</v>
      </c>
      <c r="G42" s="79" t="s">
        <v>121</v>
      </c>
      <c r="H42" s="79" t="s">
        <v>133</v>
      </c>
      <c r="I42" s="79" t="s">
        <v>156</v>
      </c>
      <c r="J42" s="79" t="s">
        <v>153</v>
      </c>
    </row>
    <row r="43" spans="2:10" ht="18" customHeight="1" x14ac:dyDescent="0.2">
      <c r="B43" s="125"/>
      <c r="C43" s="94" t="str">
        <f>IF(Configuración!F14="","",Configuración!F14)</f>
        <v>Marta</v>
      </c>
      <c r="D43" s="109">
        <f>IF($C43="","",COUNTIF(Clases!$G$6:$G$65,$C43))</f>
        <v>7</v>
      </c>
      <c r="E43" s="37">
        <f>IF($C43="","",SUMIF(Clases!$G$6:$G$65,$C43,Clases!$J$6:$J$65)/60)</f>
        <v>7</v>
      </c>
      <c r="F43" s="37">
        <f>IF($C43="","",SUMIF(Ocupación!$G$6:$G$65,$C43,Ocupación!$V$6:$V$65))</f>
        <v>99.22727272727272</v>
      </c>
      <c r="G43" s="80">
        <f>IF($C43="","",IFERROR(F43/SUMIF(Ocupación!$G$6:$G$65,$C43,Ocupación!$U$6:$U$65),""))</f>
        <v>0.88595779220779214</v>
      </c>
      <c r="H43" s="110">
        <f>IF($C43="","",SUMIF(Ocupación!$G$6:$G$65,$C43,Ocupación!$P$6:$P$65))</f>
        <v>683.56565656565658</v>
      </c>
      <c r="I43" s="110">
        <f>IF($C43="","",SUMIFS(Ocupación!$Q$6:$Q$65,Ocupación!$G$6:$G$65,$C43,Ocupación!$U$6:$U$65,"&gt;0"))</f>
        <v>126</v>
      </c>
      <c r="J43" s="110">
        <f t="shared" ref="J43:J52" si="3">IF($C43="","",H43-I43)</f>
        <v>557.56565656565658</v>
      </c>
    </row>
    <row r="44" spans="2:10" ht="18" customHeight="1" x14ac:dyDescent="0.2">
      <c r="B44" s="125"/>
      <c r="C44" s="112" t="str">
        <f>IF(Configuración!F15="","",Configuración!F15)</f>
        <v>Javi</v>
      </c>
      <c r="D44" s="113">
        <f>IF($C44="","",COUNTIF(Clases!$G$6:$G$65,$C44))</f>
        <v>8</v>
      </c>
      <c r="E44" s="87">
        <f>IF($C44="","",SUMIF(Clases!$G$6:$G$65,$C44,Clases!$J$6:$J$65)/60)</f>
        <v>8.1666666666666661</v>
      </c>
      <c r="F44" s="87">
        <f>IF($C44="","",SUMIF(Ocupación!$G$6:$G$65,$C44,Ocupación!$V$6:$V$65))</f>
        <v>84.901515151515156</v>
      </c>
      <c r="G44" s="88">
        <f>IF($C44="","",IFERROR(F44/SUMIF(Ocupación!$G$6:$G$65,$C44,Ocupación!$U$6:$U$65),""))</f>
        <v>0.73190961337513061</v>
      </c>
      <c r="H44" s="114">
        <f>IF($C44="","",SUMIF(Ocupación!$G$6:$G$65,$C44,Ocupación!$P$6:$P$65))</f>
        <v>584.87710437710439</v>
      </c>
      <c r="I44" s="114">
        <f>IF($C44="","",SUMIFS(Ocupación!$Q$6:$Q$65,Ocupación!$G$6:$G$65,$C44,Ocupación!$U$6:$U$65,"&gt;0"))</f>
        <v>163.33333333333334</v>
      </c>
      <c r="J44" s="114">
        <f t="shared" si="3"/>
        <v>421.54377104377102</v>
      </c>
    </row>
    <row r="45" spans="2:10" ht="18" customHeight="1" x14ac:dyDescent="0.2">
      <c r="B45" s="125"/>
      <c r="C45" s="94" t="str">
        <f>IF(Configuración!F16="","",Configuración!F16)</f>
        <v>Lucía</v>
      </c>
      <c r="D45" s="109">
        <f>IF($C45="","",COUNTIF(Clases!$G$6:$G$65,$C45))</f>
        <v>6</v>
      </c>
      <c r="E45" s="37">
        <f>IF($C45="","",SUMIF(Clases!$G$6:$G$65,$C45,Clases!$J$6:$J$65)/60)</f>
        <v>5.25</v>
      </c>
      <c r="F45" s="37">
        <f>IF($C45="","",SUMIF(Ocupación!$G$6:$G$65,$C45,Ocupación!$V$6:$V$65))</f>
        <v>38.75</v>
      </c>
      <c r="G45" s="80">
        <f>IF($C45="","",IFERROR(F45/SUMIF(Ocupación!$G$6:$G$65,$C45,Ocupación!$U$6:$U$65),""))</f>
        <v>0.53819444444444442</v>
      </c>
      <c r="H45" s="110">
        <f>IF($C45="","",SUMIF(Ocupación!$G$6:$G$65,$C45,Ocupación!$P$6:$P$65))</f>
        <v>266.94444444444446</v>
      </c>
      <c r="I45" s="110">
        <f>IF($C45="","",SUMIFS(Ocupación!$Q$6:$Q$65,Ocupación!$G$6:$G$65,$C45,Ocupación!$U$6:$U$65,"&gt;0"))</f>
        <v>89.25</v>
      </c>
      <c r="J45" s="110">
        <f t="shared" si="3"/>
        <v>177.69444444444446</v>
      </c>
    </row>
    <row r="46" spans="2:10" ht="18" customHeight="1" x14ac:dyDescent="0.2">
      <c r="B46" s="125"/>
      <c r="C46" s="112" t="str">
        <f>IF(Configuración!F17="","",Configuración!F17)</f>
        <v>Dani</v>
      </c>
      <c r="D46" s="113">
        <f>IF($C46="","",COUNTIF(Clases!$G$6:$G$65,$C46))</f>
        <v>9</v>
      </c>
      <c r="E46" s="87">
        <f>IF($C46="","",SUMIF(Clases!$G$6:$G$65,$C46,Clases!$J$6:$J$65)/60)</f>
        <v>6.75</v>
      </c>
      <c r="F46" s="87">
        <f>IF($C46="","",SUMIF(Ocupación!$G$6:$G$65,$C46,Ocupación!$V$6:$V$65))</f>
        <v>66.310606060606062</v>
      </c>
      <c r="G46" s="88">
        <f>IF($C46="","",IFERROR(F46/SUMIF(Ocupación!$G$6:$G$65,$C46,Ocupación!$U$6:$U$65),""))</f>
        <v>0.5347629521016618</v>
      </c>
      <c r="H46" s="114">
        <f>IF($C46="","",SUMIF(Ocupación!$G$6:$G$65,$C46,Ocupación!$P$6:$P$65))</f>
        <v>456.80639730639734</v>
      </c>
      <c r="I46" s="114">
        <f>IF($C46="","",SUMIFS(Ocupación!$Q$6:$Q$65,Ocupación!$G$6:$G$65,$C46,Ocupación!$U$6:$U$65,"&gt;0"))</f>
        <v>108</v>
      </c>
      <c r="J46" s="114">
        <f t="shared" si="3"/>
        <v>348.80639730639734</v>
      </c>
    </row>
    <row r="47" spans="2:10" ht="18" customHeight="1" x14ac:dyDescent="0.2">
      <c r="B47" s="125"/>
      <c r="C47" s="94" t="str">
        <f>IF(Configuración!F18="","",Configuración!F18)</f>
        <v>Sara</v>
      </c>
      <c r="D47" s="109">
        <f>IF($C47="","",COUNTIF(Clases!$G$6:$G$65,$C47))</f>
        <v>7</v>
      </c>
      <c r="E47" s="37">
        <f>IF($C47="","",SUMIF(Clases!$G$6:$G$65,$C47,Clases!$J$6:$J$65)/60)</f>
        <v>6.416666666666667</v>
      </c>
      <c r="F47" s="37">
        <f>IF($C47="","",SUMIF(Ocupación!$G$6:$G$65,$C47,Ocupación!$V$6:$V$65))</f>
        <v>63.56818181818182</v>
      </c>
      <c r="G47" s="80">
        <f>IF($C47="","",IFERROR(F47/SUMIF(Ocupación!$G$6:$G$65,$C47,Ocupación!$U$6:$U$65),""))</f>
        <v>0.75676406926406925</v>
      </c>
      <c r="H47" s="110">
        <f>IF($C47="","",SUMIF(Ocupación!$G$6:$G$65,$C47,Ocupación!$P$6:$P$65))</f>
        <v>437.9141414141414</v>
      </c>
      <c r="I47" s="110">
        <f>IF($C47="","",SUMIFS(Ocupación!$Q$6:$Q$65,Ocupación!$G$6:$G$65,$C47,Ocupación!$U$6:$U$65,"&gt;0"))</f>
        <v>141.16666666666669</v>
      </c>
      <c r="J47" s="110">
        <f t="shared" si="3"/>
        <v>296.74747474747471</v>
      </c>
    </row>
    <row r="48" spans="2:10" ht="18" customHeight="1" x14ac:dyDescent="0.2">
      <c r="B48" s="125"/>
      <c r="C48" s="112" t="str">
        <f>IF(Configuración!F19="","",Configuración!F19)</f>
        <v/>
      </c>
      <c r="D48" s="113" t="str">
        <f>IF($C48="","",COUNTIF(Clases!$G$6:$G$65,$C48))</f>
        <v/>
      </c>
      <c r="E48" s="87" t="str">
        <f>IF($C48="","",SUMIF(Clases!$G$6:$G$65,$C48,Clases!$J$6:$J$65)/60)</f>
        <v/>
      </c>
      <c r="F48" s="87" t="str">
        <f>IF($C48="","",SUMIF(Ocupación!$G$6:$G$65,$C48,Ocupación!$V$6:$V$65))</f>
        <v/>
      </c>
      <c r="G48" s="88" t="str">
        <f>IF($C48="","",IFERROR(F48/SUMIF(Ocupación!$G$6:$G$65,$C48,Ocupación!$U$6:$U$65),""))</f>
        <v/>
      </c>
      <c r="H48" s="114" t="str">
        <f>IF($C48="","",SUMIF(Ocupación!$G$6:$G$65,$C48,Ocupación!$P$6:$P$65))</f>
        <v/>
      </c>
      <c r="I48" s="114" t="str">
        <f>IF($C48="","",SUMIFS(Ocupación!$Q$6:$Q$65,Ocupación!$G$6:$G$65,$C48,Ocupación!$U$6:$U$65,"&gt;0"))</f>
        <v/>
      </c>
      <c r="J48" s="114" t="str">
        <f t="shared" si="3"/>
        <v/>
      </c>
    </row>
    <row r="49" spans="2:10" ht="18" customHeight="1" x14ac:dyDescent="0.2">
      <c r="B49" s="125"/>
      <c r="C49" s="94" t="str">
        <f>IF(Configuración!F20="","",Configuración!F20)</f>
        <v/>
      </c>
      <c r="D49" s="109" t="str">
        <f>IF($C49="","",COUNTIF(Clases!$G$6:$G$65,$C49))</f>
        <v/>
      </c>
      <c r="E49" s="37" t="str">
        <f>IF($C49="","",SUMIF(Clases!$G$6:$G$65,$C49,Clases!$J$6:$J$65)/60)</f>
        <v/>
      </c>
      <c r="F49" s="37" t="str">
        <f>IF($C49="","",SUMIF(Ocupación!$G$6:$G$65,$C49,Ocupación!$V$6:$V$65))</f>
        <v/>
      </c>
      <c r="G49" s="80" t="str">
        <f>IF($C49="","",IFERROR(F49/SUMIF(Ocupación!$G$6:$G$65,$C49,Ocupación!$U$6:$U$65),""))</f>
        <v/>
      </c>
      <c r="H49" s="110" t="str">
        <f>IF($C49="","",SUMIF(Ocupación!$G$6:$G$65,$C49,Ocupación!$P$6:$P$65))</f>
        <v/>
      </c>
      <c r="I49" s="110" t="str">
        <f>IF($C49="","",SUMIFS(Ocupación!$Q$6:$Q$65,Ocupación!$G$6:$G$65,$C49,Ocupación!$U$6:$U$65,"&gt;0"))</f>
        <v/>
      </c>
      <c r="J49" s="110" t="str">
        <f t="shared" si="3"/>
        <v/>
      </c>
    </row>
    <row r="50" spans="2:10" ht="18" customHeight="1" x14ac:dyDescent="0.2">
      <c r="B50" s="125"/>
      <c r="C50" s="112" t="str">
        <f>IF(Configuración!F21="","",Configuración!F21)</f>
        <v/>
      </c>
      <c r="D50" s="113" t="str">
        <f>IF($C50="","",COUNTIF(Clases!$G$6:$G$65,$C50))</f>
        <v/>
      </c>
      <c r="E50" s="87" t="str">
        <f>IF($C50="","",SUMIF(Clases!$G$6:$G$65,$C50,Clases!$J$6:$J$65)/60)</f>
        <v/>
      </c>
      <c r="F50" s="87" t="str">
        <f>IF($C50="","",SUMIF(Ocupación!$G$6:$G$65,$C50,Ocupación!$V$6:$V$65))</f>
        <v/>
      </c>
      <c r="G50" s="88" t="str">
        <f>IF($C50="","",IFERROR(F50/SUMIF(Ocupación!$G$6:$G$65,$C50,Ocupación!$U$6:$U$65),""))</f>
        <v/>
      </c>
      <c r="H50" s="114" t="str">
        <f>IF($C50="","",SUMIF(Ocupación!$G$6:$G$65,$C50,Ocupación!$P$6:$P$65))</f>
        <v/>
      </c>
      <c r="I50" s="114" t="str">
        <f>IF($C50="","",SUMIFS(Ocupación!$Q$6:$Q$65,Ocupación!$G$6:$G$65,$C50,Ocupación!$U$6:$U$65,"&gt;0"))</f>
        <v/>
      </c>
      <c r="J50" s="114" t="str">
        <f t="shared" si="3"/>
        <v/>
      </c>
    </row>
    <row r="51" spans="2:10" ht="18" customHeight="1" x14ac:dyDescent="0.2">
      <c r="B51" s="125"/>
      <c r="C51" s="94" t="str">
        <f>IF(Configuración!F22="","",Configuración!F22)</f>
        <v/>
      </c>
      <c r="D51" s="109" t="str">
        <f>IF($C51="","",COUNTIF(Clases!$G$6:$G$65,$C51))</f>
        <v/>
      </c>
      <c r="E51" s="37" t="str">
        <f>IF($C51="","",SUMIF(Clases!$G$6:$G$65,$C51,Clases!$J$6:$J$65)/60)</f>
        <v/>
      </c>
      <c r="F51" s="37" t="str">
        <f>IF($C51="","",SUMIF(Ocupación!$G$6:$G$65,$C51,Ocupación!$V$6:$V$65))</f>
        <v/>
      </c>
      <c r="G51" s="80" t="str">
        <f>IF($C51="","",IFERROR(F51/SUMIF(Ocupación!$G$6:$G$65,$C51,Ocupación!$U$6:$U$65),""))</f>
        <v/>
      </c>
      <c r="H51" s="110" t="str">
        <f>IF($C51="","",SUMIF(Ocupación!$G$6:$G$65,$C51,Ocupación!$P$6:$P$65))</f>
        <v/>
      </c>
      <c r="I51" s="110" t="str">
        <f>IF($C51="","",SUMIFS(Ocupación!$Q$6:$Q$65,Ocupación!$G$6:$G$65,$C51,Ocupación!$U$6:$U$65,"&gt;0"))</f>
        <v/>
      </c>
      <c r="J51" s="110" t="str">
        <f t="shared" si="3"/>
        <v/>
      </c>
    </row>
    <row r="52" spans="2:10" ht="18" customHeight="1" x14ac:dyDescent="0.2">
      <c r="B52" s="125"/>
      <c r="C52" s="112" t="str">
        <f>IF(Configuración!F23="","",Configuración!F23)</f>
        <v/>
      </c>
      <c r="D52" s="113" t="str">
        <f>IF($C52="","",COUNTIF(Clases!$G$6:$G$65,$C52))</f>
        <v/>
      </c>
      <c r="E52" s="87" t="str">
        <f>IF($C52="","",SUMIF(Clases!$G$6:$G$65,$C52,Clases!$J$6:$J$65)/60)</f>
        <v/>
      </c>
      <c r="F52" s="87" t="str">
        <f>IF($C52="","",SUMIF(Ocupación!$G$6:$G$65,$C52,Ocupación!$V$6:$V$65))</f>
        <v/>
      </c>
      <c r="G52" s="88" t="str">
        <f>IF($C52="","",IFERROR(F52/SUMIF(Ocupación!$G$6:$G$65,$C52,Ocupación!$U$6:$U$65),""))</f>
        <v/>
      </c>
      <c r="H52" s="114" t="str">
        <f>IF($C52="","",SUMIF(Ocupación!$G$6:$G$65,$C52,Ocupación!$P$6:$P$65))</f>
        <v/>
      </c>
      <c r="I52" s="114" t="str">
        <f>IF($C52="","",SUMIFS(Ocupación!$Q$6:$Q$65,Ocupación!$G$6:$G$65,$C52,Ocupación!$U$6:$U$65,"&gt;0"))</f>
        <v/>
      </c>
      <c r="J52" s="114" t="str">
        <f t="shared" si="3"/>
        <v/>
      </c>
    </row>
    <row r="53" spans="2:10" ht="20" customHeight="1" x14ac:dyDescent="0.2">
      <c r="B53" s="125"/>
      <c r="C53" s="126" t="s">
        <v>149</v>
      </c>
      <c r="D53" s="127">
        <f>SUM(D43:D52)</f>
        <v>37</v>
      </c>
      <c r="E53" s="128">
        <f>SUM(E43:E52)</f>
        <v>33.583333333333329</v>
      </c>
      <c r="F53" s="128">
        <f>SUM(F43:F52)</f>
        <v>352.75757575757575</v>
      </c>
      <c r="G53" s="129">
        <f>IFERROR(F53/SUMIF(Ocupación!$G$6:$G$65,"&lt;&gt;—",Ocupación!$U$6:$U$65),"")</f>
        <v>0.69440467668814121</v>
      </c>
      <c r="H53" s="130">
        <f>SUM(H43:H52)</f>
        <v>2430.1077441077441</v>
      </c>
      <c r="I53" s="130">
        <f>SUM(I43:I52)</f>
        <v>627.75</v>
      </c>
      <c r="J53" s="130">
        <f>SUM(J43:J52)</f>
        <v>1802.3577441077441</v>
      </c>
    </row>
    <row r="55" spans="2:10" ht="22" customHeight="1" x14ac:dyDescent="0.2">
      <c r="B55" s="92" t="s">
        <v>157</v>
      </c>
    </row>
    <row r="56" spans="2:10" ht="32" customHeight="1" x14ac:dyDescent="0.2">
      <c r="C56" s="79" t="s">
        <v>40</v>
      </c>
      <c r="D56" s="79" t="s">
        <v>158</v>
      </c>
      <c r="E56" s="79" t="s">
        <v>91</v>
      </c>
      <c r="F56" s="79" t="s">
        <v>98</v>
      </c>
      <c r="G56" s="79" t="s">
        <v>151</v>
      </c>
      <c r="H56" s="79" t="s">
        <v>121</v>
      </c>
      <c r="I56" s="79" t="s">
        <v>159</v>
      </c>
    </row>
    <row r="57" spans="2:10" ht="18" customHeight="1" x14ac:dyDescent="0.2">
      <c r="B57" s="125"/>
      <c r="C57" s="94" t="str">
        <f>IF(Configuración!F6="","",Configuración!F6)</f>
        <v>Box</v>
      </c>
      <c r="D57" s="109">
        <f>IF($C57="","",Configuración!G6)</f>
        <v>16</v>
      </c>
      <c r="E57" s="109">
        <f>IF($C57="","",COUNTIF(Clases!$F$6:$F$65,$C57))</f>
        <v>19</v>
      </c>
      <c r="F57" s="109">
        <f>IF($C57="","",SUMIF(Clases!$F$6:$F$65,$C57,Clases!$I$6:$I$65))</f>
        <v>292</v>
      </c>
      <c r="G57" s="37">
        <f>IF($C57="","",SUMIF(Ocupación!$F$6:$F$65,$C57,Ocupación!$V$6:$V$65))</f>
        <v>214.43939393939397</v>
      </c>
      <c r="H57" s="80">
        <f>IF($C57="","",IFERROR(G57/SUMIF(Ocupación!$F$6:$F$65,$C57,Ocupación!$U$6:$U$65),""))</f>
        <v>0.73438148609381493</v>
      </c>
      <c r="I57" s="37">
        <f>IF($C57="","",SUMIF(Clases!$F$6:$F$65,$C57,Clases!$J$6:$J$65)/60)</f>
        <v>18.666666666666668</v>
      </c>
    </row>
    <row r="58" spans="2:10" ht="18" customHeight="1" x14ac:dyDescent="0.2">
      <c r="B58" s="125"/>
      <c r="C58" s="112" t="str">
        <f>IF(Configuración!F7="","",Configuración!F7)</f>
        <v>Estudio</v>
      </c>
      <c r="D58" s="113">
        <f>IF($C58="","",Configuración!G7)</f>
        <v>12</v>
      </c>
      <c r="E58" s="113">
        <f>IF($C58="","",COUNTIF(Clases!$F$6:$F$65,$C58))</f>
        <v>18</v>
      </c>
      <c r="F58" s="113">
        <f>IF($C58="","",SUMIF(Clases!$F$6:$F$65,$C58,Clases!$I$6:$I$65))</f>
        <v>216</v>
      </c>
      <c r="G58" s="87">
        <f>IF($C58="","",SUMIF(Ocupación!$F$6:$F$65,$C58,Ocupación!$V$6:$V$65))</f>
        <v>138.31818181818181</v>
      </c>
      <c r="H58" s="88">
        <f>IF($C58="","",IFERROR(G58/SUMIF(Ocupación!$F$6:$F$65,$C58,Ocupación!$U$6:$U$65),""))</f>
        <v>0.64036195286195285</v>
      </c>
      <c r="I58" s="87">
        <f>IF($C58="","",SUMIF(Clases!$F$6:$F$65,$C58,Clases!$J$6:$J$65)/60)</f>
        <v>14.916666666666666</v>
      </c>
    </row>
    <row r="59" spans="2:10" ht="18" customHeight="1" x14ac:dyDescent="0.2">
      <c r="B59" s="125"/>
      <c r="C59" s="94" t="str">
        <f>IF(Configuración!F8="","",Configuración!F8)</f>
        <v/>
      </c>
      <c r="D59" s="109" t="str">
        <f>IF($C59="","",Configuración!G8)</f>
        <v/>
      </c>
      <c r="E59" s="109" t="str">
        <f>IF($C59="","",COUNTIF(Clases!$F$6:$F$65,$C59))</f>
        <v/>
      </c>
      <c r="F59" s="109" t="str">
        <f>IF($C59="","",SUMIF(Clases!$F$6:$F$65,$C59,Clases!$I$6:$I$65))</f>
        <v/>
      </c>
      <c r="G59" s="37" t="str">
        <f>IF($C59="","",SUMIF(Ocupación!$F$6:$F$65,$C59,Ocupación!$V$6:$V$65))</f>
        <v/>
      </c>
      <c r="H59" s="80" t="str">
        <f>IF($C59="","",IFERROR(G59/SUMIF(Ocupación!$F$6:$F$65,$C59,Ocupación!$U$6:$U$65),""))</f>
        <v/>
      </c>
      <c r="I59" s="37" t="str">
        <f>IF($C59="","",SUMIF(Clases!$F$6:$F$65,$C59,Clases!$J$6:$J$65)/60)</f>
        <v/>
      </c>
    </row>
    <row r="60" spans="2:10" ht="18" customHeight="1" x14ac:dyDescent="0.2">
      <c r="B60" s="125"/>
      <c r="C60" s="112" t="str">
        <f>IF(Configuración!F9="","",Configuración!F9)</f>
        <v/>
      </c>
      <c r="D60" s="113" t="str">
        <f>IF($C60="","",Configuración!G9)</f>
        <v/>
      </c>
      <c r="E60" s="113" t="str">
        <f>IF($C60="","",COUNTIF(Clases!$F$6:$F$65,$C60))</f>
        <v/>
      </c>
      <c r="F60" s="113" t="str">
        <f>IF($C60="","",SUMIF(Clases!$F$6:$F$65,$C60,Clases!$I$6:$I$65))</f>
        <v/>
      </c>
      <c r="G60" s="87" t="str">
        <f>IF($C60="","",SUMIF(Ocupación!$F$6:$F$65,$C60,Ocupación!$V$6:$V$65))</f>
        <v/>
      </c>
      <c r="H60" s="88" t="str">
        <f>IF($C60="","",IFERROR(G60/SUMIF(Ocupación!$F$6:$F$65,$C60,Ocupación!$U$6:$U$65),""))</f>
        <v/>
      </c>
      <c r="I60" s="87" t="str">
        <f>IF($C60="","",SUMIF(Clases!$F$6:$F$65,$C60,Clases!$J$6:$J$65)/60)</f>
        <v/>
      </c>
    </row>
    <row r="61" spans="2:10" ht="18" customHeight="1" x14ac:dyDescent="0.2">
      <c r="B61" s="125"/>
      <c r="C61" s="94" t="str">
        <f>IF(Configuración!F10="","",Configuración!F10)</f>
        <v/>
      </c>
      <c r="D61" s="109" t="str">
        <f>IF($C61="","",Configuración!G10)</f>
        <v/>
      </c>
      <c r="E61" s="109" t="str">
        <f>IF($C61="","",COUNTIF(Clases!$F$6:$F$65,$C61))</f>
        <v/>
      </c>
      <c r="F61" s="109" t="str">
        <f>IF($C61="","",SUMIF(Clases!$F$6:$F$65,$C61,Clases!$I$6:$I$65))</f>
        <v/>
      </c>
      <c r="G61" s="37" t="str">
        <f>IF($C61="","",SUMIF(Ocupación!$F$6:$F$65,$C61,Ocupación!$V$6:$V$65))</f>
        <v/>
      </c>
      <c r="H61" s="80" t="str">
        <f>IF($C61="","",IFERROR(G61/SUMIF(Ocupación!$F$6:$F$65,$C61,Ocupación!$U$6:$U$65),""))</f>
        <v/>
      </c>
      <c r="I61" s="37" t="str">
        <f>IF($C61="","",SUMIF(Clases!$F$6:$F$65,$C61,Clases!$J$6:$J$65)/60)</f>
        <v/>
      </c>
    </row>
    <row r="62" spans="2:10" ht="18" customHeight="1" x14ac:dyDescent="0.2">
      <c r="B62" s="125"/>
      <c r="C62" s="112" t="str">
        <f>IF(Configuración!F11="","",Configuración!F11)</f>
        <v/>
      </c>
      <c r="D62" s="113" t="str">
        <f>IF($C62="","",Configuración!G11)</f>
        <v/>
      </c>
      <c r="E62" s="113" t="str">
        <f>IF($C62="","",COUNTIF(Clases!$F$6:$F$65,$C62))</f>
        <v/>
      </c>
      <c r="F62" s="113" t="str">
        <f>IF($C62="","",SUMIF(Clases!$F$6:$F$65,$C62,Clases!$I$6:$I$65))</f>
        <v/>
      </c>
      <c r="G62" s="87" t="str">
        <f>IF($C62="","",SUMIF(Ocupación!$F$6:$F$65,$C62,Ocupación!$V$6:$V$65))</f>
        <v/>
      </c>
      <c r="H62" s="88" t="str">
        <f>IF($C62="","",IFERROR(G62/SUMIF(Ocupación!$F$6:$F$65,$C62,Ocupación!$U$6:$U$65),""))</f>
        <v/>
      </c>
      <c r="I62" s="87" t="str">
        <f>IF($C62="","",SUMIF(Clases!$F$6:$F$65,$C62,Clases!$J$6:$J$65)/60)</f>
        <v/>
      </c>
    </row>
    <row r="63" spans="2:10" ht="20" customHeight="1" x14ac:dyDescent="0.2">
      <c r="B63" s="125"/>
      <c r="C63" s="126" t="s">
        <v>149</v>
      </c>
      <c r="D63" s="131"/>
      <c r="E63" s="127">
        <f>SUM(E57:E62)</f>
        <v>37</v>
      </c>
      <c r="F63" s="127">
        <f>SUM(F57:F62)</f>
        <v>508</v>
      </c>
      <c r="G63" s="128">
        <f>SUM(G57:G62)</f>
        <v>352.75757575757575</v>
      </c>
      <c r="H63" s="129">
        <f>IFERROR(G63/SUM(Ocupación!$U$6:$U$65),"")</f>
        <v>0.69440467668814121</v>
      </c>
      <c r="I63" s="128">
        <f>SUM(I57:I62)</f>
        <v>33.583333333333336</v>
      </c>
    </row>
  </sheetData>
  <conditionalFormatting sqref="B27:B38">
    <cfRule type="expression" dxfId="23" priority="2">
      <formula>$C27=""</formula>
    </cfRule>
  </conditionalFormatting>
  <conditionalFormatting sqref="E7:L13">
    <cfRule type="colorScale" priority="1">
      <colorScale>
        <cfvo type="formula" val="$N$1"/>
        <cfvo type="formula" val="$N$2"/>
        <cfvo type="formula" val="$N$3"/>
        <color rgb="FFF7A9B8"/>
        <color rgb="FFFFE1A8"/>
        <color rgb="FF1DD6C1"/>
      </colorScale>
    </cfRule>
  </conditionalFormatting>
  <conditionalFormatting sqref="G27:G39">
    <cfRule type="expression" dxfId="22" priority="3">
      <formula>AND(ISNUMBER(G27),G27&gt;=$N$3)</formula>
    </cfRule>
    <cfRule type="expression" dxfId="21" priority="4">
      <formula>AND(ISNUMBER(G27),G27&gt;=$N$2)</formula>
    </cfRule>
    <cfRule type="expression" dxfId="20" priority="5">
      <formula>AND(ISNUMBER(G27),G27&gt;=$N$1)</formula>
    </cfRule>
    <cfRule type="expression" dxfId="19" priority="6">
      <formula>ISNUMBER(G27)</formula>
    </cfRule>
  </conditionalFormatting>
  <conditionalFormatting sqref="G43:G53">
    <cfRule type="expression" dxfId="18" priority="8">
      <formula>AND(ISNUMBER(G43),G43&gt;=$N$3)</formula>
    </cfRule>
    <cfRule type="expression" dxfId="17" priority="9">
      <formula>AND(ISNUMBER(G43),G43&gt;=$N$2)</formula>
    </cfRule>
    <cfRule type="expression" dxfId="16" priority="10">
      <formula>AND(ISNUMBER(G43),G43&gt;=$N$1)</formula>
    </cfRule>
    <cfRule type="expression" dxfId="15" priority="11">
      <formula>ISNUMBER(G43)</formula>
    </cfRule>
  </conditionalFormatting>
  <conditionalFormatting sqref="H57:H63">
    <cfRule type="expression" dxfId="14" priority="13">
      <formula>AND(ISNUMBER(H57),H57&gt;=$N$3)</formula>
    </cfRule>
    <cfRule type="expression" dxfId="13" priority="14">
      <formula>AND(ISNUMBER(H57),H57&gt;=$N$2)</formula>
    </cfRule>
    <cfRule type="expression" dxfId="12" priority="15">
      <formula>AND(ISNUMBER(H57),H57&gt;=$N$1)</formula>
    </cfRule>
    <cfRule type="expression" dxfId="11" priority="16">
      <formula>ISNUMBER(H57)</formula>
    </cfRule>
  </conditionalFormatting>
  <conditionalFormatting sqref="J27:J39">
    <cfRule type="expression" dxfId="10" priority="7">
      <formula>AND(ISNUMBER(J27),J27&lt;0)</formula>
    </cfRule>
  </conditionalFormatting>
  <conditionalFormatting sqref="J43:J53">
    <cfRule type="expression" dxfId="9" priority="12">
      <formula>AND(ISNUMBER(J43),J43&lt;0)</formula>
    </cfRule>
  </conditionalFormatting>
  <printOptions horizontalCentered="1"/>
  <pageMargins left="0.4" right="0.4" top="0.45" bottom="0.55000000000000004" header="0.2" footer="0.25"/>
  <pageSetup paperSize="9" fitToHeight="0" orientation="portrait"/>
  <headerFooter>
    <oddFooter>&amp;L&amp;"Arial,Regular"&amp;7 &amp;K5C697D&amp;A&amp;C&amp;"Arial,Regular"&amp;7 &amp;K5C697DPlantilla gratuita de GymGym · gymgym.es/recursos&amp;R&amp;"Arial,Regular"&amp;7 &amp;K5C697DPágina &amp;P de &amp;N</oddFooter>
  </headerFooter>
  <rowBreaks count="1" manualBreakCount="1">
    <brk id="40" max="16383" man="1"/>
  </rowBreaks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4A3CCF"/>
    <pageSetUpPr fitToPage="1"/>
  </sheetPr>
  <dimension ref="B1:X33"/>
  <sheetViews>
    <sheetView showGridLines="0" workbookViewId="0"/>
  </sheetViews>
  <sheetFormatPr baseColWidth="10" defaultColWidth="8.83203125" defaultRowHeight="15" x14ac:dyDescent="0.2"/>
  <cols>
    <col min="1" max="1" width="2.5" customWidth="1"/>
    <col min="2" max="2" width="10" customWidth="1"/>
    <col min="3" max="3" width="7" customWidth="1"/>
    <col min="4" max="4" width="17" customWidth="1"/>
    <col min="5" max="6" width="11" customWidth="1"/>
    <col min="7" max="7" width="10" customWidth="1"/>
    <col min="8" max="8" width="2" customWidth="1"/>
    <col min="9" max="9" width="10" customWidth="1"/>
    <col min="10" max="10" width="7" customWidth="1"/>
    <col min="11" max="11" width="17" customWidth="1"/>
    <col min="12" max="13" width="11" customWidth="1"/>
    <col min="14" max="14" width="10" customWidth="1"/>
    <col min="16" max="24" width="13" hidden="1" customWidth="1"/>
  </cols>
  <sheetData>
    <row r="1" spans="2:18" ht="30" customHeight="1" x14ac:dyDescent="0.25">
      <c r="B1" s="22" t="s">
        <v>160</v>
      </c>
      <c r="R1" s="68">
        <f>Configuración!$C$18</f>
        <v>0.4</v>
      </c>
    </row>
    <row r="2" spans="2:18" ht="18" customHeight="1" x14ac:dyDescent="0.2">
      <c r="B2" s="132" t="str">
        <f>IF(Configuración!$C$6="","",Configuración!$C$6&amp;" · ")&amp;IF(Asistencia!$U$4=0,"todavía sin asistencia apuntada","asistencia de "&amp;Asistencia!$U$4&amp;IF(Asistencia!$U$4=1," semana"," semanas")&amp;" · ocupación = asistentes ÷ plazas")</f>
        <v>Centro de ejemplo · asistencia de 12 semanas · ocupación = asistentes ÷ plazas</v>
      </c>
      <c r="R2" s="68">
        <f>Configuración!$C$19</f>
        <v>0.65</v>
      </c>
    </row>
    <row r="3" spans="2:18" ht="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R3" s="68">
        <f>Configuración!$C$20</f>
        <v>0.9</v>
      </c>
    </row>
    <row r="4" spans="2:18" ht="10" customHeight="1" x14ac:dyDescent="0.2">
      <c r="R4" s="68">
        <f>Configuración!$C$21</f>
        <v>-0.15</v>
      </c>
    </row>
    <row r="5" spans="2:18" ht="20" customHeight="1" x14ac:dyDescent="0.2">
      <c r="B5" s="168" t="s">
        <v>42</v>
      </c>
      <c r="C5" s="169"/>
      <c r="D5" s="170"/>
      <c r="E5" s="168" t="s">
        <v>161</v>
      </c>
      <c r="F5" s="169"/>
      <c r="G5" s="170"/>
      <c r="I5" s="168" t="s">
        <v>162</v>
      </c>
      <c r="J5" s="169"/>
      <c r="K5" s="170"/>
      <c r="L5" s="168" t="s">
        <v>163</v>
      </c>
      <c r="M5" s="169"/>
      <c r="N5" s="170"/>
    </row>
    <row r="6" spans="2:18" ht="36" customHeight="1" x14ac:dyDescent="0.2">
      <c r="B6" s="175">
        <f>COUNT(Clases!$B$6:$B$65)</f>
        <v>37</v>
      </c>
      <c r="C6" s="172"/>
      <c r="D6" s="173"/>
      <c r="E6" s="176">
        <f>IFERROR(SUM(Ocupación!$V$6:$V$65)/SUM(Ocupación!$U$6:$U$65),0)</f>
        <v>0.69440467668814132</v>
      </c>
      <c r="F6" s="172"/>
      <c r="G6" s="173"/>
      <c r="I6" s="175">
        <f>ROUND(SUM(Ocupación!$U$6:$U$65)-SUM(Ocupación!$V$6:$V$65),0)</f>
        <v>155</v>
      </c>
      <c r="J6" s="172"/>
      <c r="K6" s="173"/>
      <c r="L6" s="174">
        <f>SUM(Ocupación!$R$6:$R$65)</f>
        <v>1802.3577441077439</v>
      </c>
      <c r="M6" s="172"/>
      <c r="N6" s="173"/>
    </row>
    <row r="7" spans="2:18" ht="18" customHeight="1" x14ac:dyDescent="0.2">
      <c r="B7" s="171" t="str">
        <f>ROUND(SUM(Clases!$J$6:$J$65)/60,0)&amp;" horas de clase a la semana"</f>
        <v>34 horas de clase a la semana</v>
      </c>
      <c r="C7" s="172"/>
      <c r="D7" s="173"/>
      <c r="E7" s="171" t="str">
        <f>ROUND(SUM(Ocupación!$V$6:$V$65),0)&amp;" asistentes de media cada semana"</f>
        <v>353 asistentes de media cada semana</v>
      </c>
      <c r="F7" s="172"/>
      <c r="G7" s="173"/>
      <c r="I7" s="171" t="str">
        <f>"de "&amp;SUM(Ocupación!$U$6:$U$65)&amp;" plazas que ofreces"</f>
        <v>de 508 plazas que ofreces</v>
      </c>
      <c r="J7" s="172"/>
      <c r="K7" s="173"/>
      <c r="L7" s="171" t="str">
        <f>"ingreso imputado − coste de monitores"</f>
        <v>ingreso imputado − coste de monitores</v>
      </c>
      <c r="M7" s="172"/>
      <c r="N7" s="173"/>
    </row>
    <row r="8" spans="2:18" ht="14" customHeight="1" x14ac:dyDescent="0.2"/>
    <row r="9" spans="2:18" ht="22" customHeight="1" x14ac:dyDescent="0.2">
      <c r="B9" s="92" t="s">
        <v>164</v>
      </c>
      <c r="I9" s="92" t="s">
        <v>165</v>
      </c>
    </row>
    <row r="10" spans="2:18" ht="20" customHeight="1" x14ac:dyDescent="0.2">
      <c r="B10" s="133" t="s">
        <v>95</v>
      </c>
      <c r="C10" s="134" t="s">
        <v>117</v>
      </c>
      <c r="D10" s="133" t="s">
        <v>74</v>
      </c>
      <c r="E10" s="133" t="s">
        <v>40</v>
      </c>
      <c r="F10" s="133" t="s">
        <v>55</v>
      </c>
      <c r="G10" s="134" t="s">
        <v>125</v>
      </c>
      <c r="I10" s="133" t="s">
        <v>95</v>
      </c>
      <c r="J10" s="134" t="s">
        <v>117</v>
      </c>
      <c r="K10" s="133" t="s">
        <v>74</v>
      </c>
      <c r="L10" s="133" t="s">
        <v>40</v>
      </c>
      <c r="M10" s="133" t="s">
        <v>55</v>
      </c>
      <c r="N10" s="134" t="s">
        <v>125</v>
      </c>
    </row>
    <row r="11" spans="2:18" ht="19" customHeight="1" x14ac:dyDescent="0.2">
      <c r="B11" s="135" t="str">
        <f>IF($P11="","",INDEX(Ocupación!$C$6:$C$65,$P11))</f>
        <v>Miércoles</v>
      </c>
      <c r="C11" s="136">
        <f>IF($P11="","",INDEX(Ocupación!$D$6:$D$65,$P11))</f>
        <v>0.79166666666666663</v>
      </c>
      <c r="D11" s="137" t="str">
        <f>IF($P11="","",INDEX(Ocupación!$E$6:$E$65,$P11))</f>
        <v>Cross training</v>
      </c>
      <c r="E11" s="135" t="str">
        <f>IF($P11="","",INDEX(Ocupación!$F$6:$F$65,$P11))</f>
        <v>Box</v>
      </c>
      <c r="F11" s="135" t="str">
        <f>IF($P11="","",INDEX(Ocupación!$G$6:$G$65,$P11))</f>
        <v>Javi</v>
      </c>
      <c r="G11" s="138">
        <f>IF($P11="","",INDEX(Ocupación!$K$6:$K$65,$P11))</f>
        <v>0.96354166666666663</v>
      </c>
      <c r="I11" s="135" t="str">
        <f>IF($Q11="","",INDEX(Ocupación!$C$6:$C$65,$Q11))</f>
        <v>Jueves</v>
      </c>
      <c r="J11" s="136">
        <f>IF($Q11="","",INDEX(Ocupación!$D$6:$D$65,$Q11))</f>
        <v>0.59375</v>
      </c>
      <c r="K11" s="137" t="str">
        <f>IF($Q11="","",INDEX(Ocupación!$E$6:$E$65,$Q11))</f>
        <v>Core exprés</v>
      </c>
      <c r="L11" s="135" t="str">
        <f>IF($Q11="","",INDEX(Ocupación!$F$6:$F$65,$Q11))</f>
        <v>Estudio</v>
      </c>
      <c r="M11" s="135" t="str">
        <f>IF($Q11="","",INDEX(Ocupación!$G$6:$G$65,$Q11))</f>
        <v>Dani</v>
      </c>
      <c r="N11" s="138">
        <f>IF($Q11="","",INDEX(Ocupación!$K$6:$K$65,$Q11))</f>
        <v>0.27083333333333331</v>
      </c>
      <c r="P11">
        <f>IFERROR(MATCH(LARGE(Ocupación!$T$6:$T$65,1),Ocupación!$T$6:$T$65,0),"")</f>
        <v>20</v>
      </c>
      <c r="Q11">
        <f>IFERROR(MATCH(SMALL(Ocupación!$T$6:$T$65,1),Ocupación!$T$6:$T$65,0),"")</f>
        <v>26</v>
      </c>
    </row>
    <row r="12" spans="2:18" ht="19" customHeight="1" x14ac:dyDescent="0.2">
      <c r="B12" s="135" t="str">
        <f>IF($P12="","",INDEX(Ocupación!$C$6:$C$65,$P12))</f>
        <v>Miércoles</v>
      </c>
      <c r="C12" s="136">
        <f>IF($P12="","",INDEX(Ocupación!$D$6:$D$65,$P12))</f>
        <v>0.29166666666666669</v>
      </c>
      <c r="D12" s="137" t="str">
        <f>IF($P12="","",INDEX(Ocupación!$E$6:$E$65,$P12))</f>
        <v>Cross training</v>
      </c>
      <c r="E12" s="135" t="str">
        <f>IF($P12="","",INDEX(Ocupación!$F$6:$F$65,$P12))</f>
        <v>Box</v>
      </c>
      <c r="F12" s="135" t="str">
        <f>IF($P12="","",INDEX(Ocupación!$G$6:$G$65,$P12))</f>
        <v>Marta</v>
      </c>
      <c r="G12" s="138">
        <f>IF($P12="","",INDEX(Ocupación!$K$6:$K$65,$P12))</f>
        <v>0.9375</v>
      </c>
      <c r="I12" s="135" t="str">
        <f>IF($Q12="","",INDEX(Ocupación!$C$6:$C$65,$Q12))</f>
        <v>Miércoles</v>
      </c>
      <c r="J12" s="136">
        <f>IF($Q12="","",INDEX(Ocupación!$D$6:$D$65,$Q12))</f>
        <v>0.58333333333333337</v>
      </c>
      <c r="K12" s="137" t="str">
        <f>IF($Q12="","",INDEX(Ocupación!$E$6:$E$65,$Q12))</f>
        <v>HIIT</v>
      </c>
      <c r="L12" s="135" t="str">
        <f>IF($Q12="","",INDEX(Ocupación!$F$6:$F$65,$Q12))</f>
        <v>Box</v>
      </c>
      <c r="M12" s="135" t="str">
        <f>IF($Q12="","",INDEX(Ocupación!$G$6:$G$65,$Q12))</f>
        <v>Dani</v>
      </c>
      <c r="N12" s="138">
        <f>IF($Q12="","",INDEX(Ocupación!$K$6:$K$65,$Q12))</f>
        <v>0.3125</v>
      </c>
      <c r="P12">
        <f>IFERROR(MATCH(LARGE(Ocupación!$T$6:$T$65,2),Ocupación!$T$6:$T$65,0),"")</f>
        <v>16</v>
      </c>
      <c r="Q12">
        <f>IFERROR(MATCH(SMALL(Ocupación!$T$6:$T$65,2),Ocupación!$T$6:$T$65,0),"")</f>
        <v>18</v>
      </c>
    </row>
    <row r="13" spans="2:18" ht="19" customHeight="1" x14ac:dyDescent="0.2">
      <c r="B13" s="135" t="str">
        <f>IF($P13="","",INDEX(Ocupación!$C$6:$C$65,$P13))</f>
        <v>Martes</v>
      </c>
      <c r="C13" s="136">
        <f>IF($P13="","",INDEX(Ocupación!$D$6:$D$65,$P13))</f>
        <v>0.79166666666666663</v>
      </c>
      <c r="D13" s="137" t="str">
        <f>IF($P13="","",INDEX(Ocupación!$E$6:$E$65,$P13))</f>
        <v>Cross training</v>
      </c>
      <c r="E13" s="135" t="str">
        <f>IF($P13="","",INDEX(Ocupación!$F$6:$F$65,$P13))</f>
        <v>Box</v>
      </c>
      <c r="F13" s="135" t="str">
        <f>IF($P13="","",INDEX(Ocupación!$G$6:$G$65,$P13))</f>
        <v>Marta</v>
      </c>
      <c r="G13" s="138">
        <f>IF($P13="","",INDEX(Ocupación!$K$6:$K$65,$P13))</f>
        <v>0.93229166666666663</v>
      </c>
      <c r="I13" s="135" t="str">
        <f>IF($Q13="","",INDEX(Ocupación!$C$6:$C$65,$Q13))</f>
        <v>Martes</v>
      </c>
      <c r="J13" s="136">
        <f>IF($Q13="","",INDEX(Ocupación!$D$6:$D$65,$Q13))</f>
        <v>0.59375</v>
      </c>
      <c r="K13" s="137" t="str">
        <f>IF($Q13="","",INDEX(Ocupación!$E$6:$E$65,$Q13))</f>
        <v>Core exprés</v>
      </c>
      <c r="L13" s="135" t="str">
        <f>IF($Q13="","",INDEX(Ocupación!$F$6:$F$65,$Q13))</f>
        <v>Estudio</v>
      </c>
      <c r="M13" s="135" t="str">
        <f>IF($Q13="","",INDEX(Ocupación!$G$6:$G$65,$Q13))</f>
        <v>Dani</v>
      </c>
      <c r="N13" s="138">
        <f>IF($Q13="","",INDEX(Ocupación!$K$6:$K$65,$Q13))</f>
        <v>0.31944444444444448</v>
      </c>
      <c r="P13">
        <f>IFERROR(MATCH(LARGE(Ocupación!$T$6:$T$65,3),Ocupación!$T$6:$T$65,0),"")</f>
        <v>12</v>
      </c>
      <c r="Q13">
        <f>IFERROR(MATCH(SMALL(Ocupación!$T$6:$T$65,3),Ocupación!$T$6:$T$65,0),"")</f>
        <v>11</v>
      </c>
    </row>
    <row r="14" spans="2:18" ht="19" customHeight="1" x14ac:dyDescent="0.2">
      <c r="B14" s="135" t="str">
        <f>IF($P14="","",INDEX(Ocupación!$C$6:$C$65,$P14))</f>
        <v>Lunes</v>
      </c>
      <c r="C14" s="136">
        <f>IF($P14="","",INDEX(Ocupación!$D$6:$D$65,$P14))</f>
        <v>0.79166666666666663</v>
      </c>
      <c r="D14" s="137" t="str">
        <f>IF($P14="","",INDEX(Ocupación!$E$6:$E$65,$P14))</f>
        <v>Cross training</v>
      </c>
      <c r="E14" s="135" t="str">
        <f>IF($P14="","",INDEX(Ocupación!$F$6:$F$65,$P14))</f>
        <v>Box</v>
      </c>
      <c r="F14" s="135" t="str">
        <f>IF($P14="","",INDEX(Ocupación!$G$6:$G$65,$P14))</f>
        <v>Javi</v>
      </c>
      <c r="G14" s="138">
        <f>IF($P14="","",INDEX(Ocupación!$K$6:$K$65,$P14))</f>
        <v>0.92613636363636365</v>
      </c>
      <c r="I14" s="135" t="str">
        <f>IF($Q14="","",INDEX(Ocupación!$C$6:$C$65,$Q14))</f>
        <v>Lunes</v>
      </c>
      <c r="J14" s="136">
        <f>IF($Q14="","",INDEX(Ocupación!$D$6:$D$65,$Q14))</f>
        <v>0.58333333333333337</v>
      </c>
      <c r="K14" s="137" t="str">
        <f>IF($Q14="","",INDEX(Ocupación!$E$6:$E$65,$Q14))</f>
        <v>HIIT</v>
      </c>
      <c r="L14" s="135" t="str">
        <f>IF($Q14="","",INDEX(Ocupación!$F$6:$F$65,$Q14))</f>
        <v>Box</v>
      </c>
      <c r="M14" s="135" t="str">
        <f>IF($Q14="","",INDEX(Ocupación!$G$6:$G$65,$Q14))</f>
        <v>Dani</v>
      </c>
      <c r="N14" s="138">
        <f>IF($Q14="","",INDEX(Ocupación!$K$6:$K$65,$Q14))</f>
        <v>0.35795454545454547</v>
      </c>
      <c r="P14">
        <f>IFERROR(MATCH(LARGE(Ocupación!$T$6:$T$65,4),Ocupación!$T$6:$T$65,0),"")</f>
        <v>5</v>
      </c>
      <c r="Q14">
        <f>IFERROR(MATCH(SMALL(Ocupación!$T$6:$T$65,4),Ocupación!$T$6:$T$65,0),"")</f>
        <v>3</v>
      </c>
    </row>
    <row r="15" spans="2:18" ht="19" customHeight="1" x14ac:dyDescent="0.2">
      <c r="B15" s="135" t="str">
        <f>IF($P15="","",INDEX(Ocupación!$C$6:$C$65,$P15))</f>
        <v>Lunes</v>
      </c>
      <c r="C15" s="136">
        <f>IF($P15="","",INDEX(Ocupación!$D$6:$D$65,$P15))</f>
        <v>0.29166666666666669</v>
      </c>
      <c r="D15" s="137" t="str">
        <f>IF($P15="","",INDEX(Ocupación!$E$6:$E$65,$P15))</f>
        <v>Cross training</v>
      </c>
      <c r="E15" s="135" t="str">
        <f>IF($P15="","",INDEX(Ocupación!$F$6:$F$65,$P15))</f>
        <v>Box</v>
      </c>
      <c r="F15" s="135" t="str">
        <f>IF($P15="","",INDEX(Ocupación!$G$6:$G$65,$P15))</f>
        <v>Marta</v>
      </c>
      <c r="G15" s="138">
        <f>IF($P15="","",INDEX(Ocupación!$K$6:$K$65,$P15))</f>
        <v>0.92045454545454541</v>
      </c>
      <c r="I15" s="135" t="str">
        <f>IF($Q15="","",INDEX(Ocupación!$C$6:$C$65,$Q15))</f>
        <v>Domingo</v>
      </c>
      <c r="J15" s="136">
        <f>IF($Q15="","",INDEX(Ocupación!$D$6:$D$65,$Q15))</f>
        <v>0.4375</v>
      </c>
      <c r="K15" s="137" t="str">
        <f>IF($Q15="","",INDEX(Ocupación!$E$6:$E$65,$Q15))</f>
        <v>Movilidad</v>
      </c>
      <c r="L15" s="135" t="str">
        <f>IF($Q15="","",INDEX(Ocupación!$F$6:$F$65,$Q15))</f>
        <v>Estudio</v>
      </c>
      <c r="M15" s="135" t="str">
        <f>IF($Q15="","",INDEX(Ocupación!$G$6:$G$65,$Q15))</f>
        <v>Lucía</v>
      </c>
      <c r="N15" s="138">
        <f>IF($Q15="","",INDEX(Ocupación!$K$6:$K$65,$Q15))</f>
        <v>0.37121212121212116</v>
      </c>
      <c r="P15">
        <f>IFERROR(MATCH(LARGE(Ocupación!$T$6:$T$65,5),Ocupación!$T$6:$T$65,0),"")</f>
        <v>1</v>
      </c>
      <c r="Q15">
        <f>IFERROR(MATCH(SMALL(Ocupación!$T$6:$T$65,5),Ocupación!$T$6:$T$65,0),"")</f>
        <v>37</v>
      </c>
    </row>
    <row r="16" spans="2:18" ht="14" customHeight="1" x14ac:dyDescent="0.2"/>
    <row r="17" spans="19:24" ht="15" customHeight="1" x14ac:dyDescent="0.2"/>
    <row r="20" spans="19:24" x14ac:dyDescent="0.2">
      <c r="S20" t="s">
        <v>166</v>
      </c>
      <c r="T20" s="139">
        <f>IF(Asistencia!H8="",0,Asistencia!H8)</f>
        <v>0.62708333333333333</v>
      </c>
      <c r="U20" t="str">
        <f>Resumen!C27</f>
        <v>Cross training</v>
      </c>
      <c r="V20" s="139">
        <f>IF(Resumen!G27="",0,Resumen!G27)</f>
        <v>0.8331360479797979</v>
      </c>
      <c r="W20" t="str">
        <f>Resumen!C7</f>
        <v>Primera hora</v>
      </c>
      <c r="X20" s="139">
        <f>IF(Resumen!L7="",0,Resumen!L7)</f>
        <v>0.89034090909090913</v>
      </c>
    </row>
    <row r="21" spans="19:24" x14ac:dyDescent="0.2">
      <c r="S21" t="s">
        <v>167</v>
      </c>
      <c r="T21" s="139">
        <f>IF(Asistencia!I8="",0,Asistencia!I8)</f>
        <v>0.60629921259842523</v>
      </c>
      <c r="U21" t="str">
        <f>Resumen!C28</f>
        <v>HIIT</v>
      </c>
      <c r="V21" s="139">
        <f>IF(Resumen!G28="",0,Resumen!G28)</f>
        <v>0.33522727272727271</v>
      </c>
      <c r="W21" t="str">
        <f>Resumen!C8</f>
        <v>Mañana</v>
      </c>
      <c r="X21" s="139">
        <f>IF(Resumen!L8="",0,Resumen!L8)</f>
        <v>0.64375000000000004</v>
      </c>
    </row>
    <row r="22" spans="19:24" x14ac:dyDescent="0.2">
      <c r="S22" t="s">
        <v>168</v>
      </c>
      <c r="T22" s="139">
        <f>IF(Asistencia!J8="",0,Asistencia!J8)</f>
        <v>0.63385826771653542</v>
      </c>
      <c r="U22" t="str">
        <f>Resumen!C29</f>
        <v>Pilates</v>
      </c>
      <c r="V22" s="139">
        <f>IF(Resumen!G29="",0,Resumen!G29)</f>
        <v>0.75676406926406925</v>
      </c>
      <c r="W22" t="str">
        <f>Resumen!C9</f>
        <v>Mediodía</v>
      </c>
      <c r="X22" s="139">
        <f>IF(Resumen!L9="",0,Resumen!L9)</f>
        <v>0.31804653679653683</v>
      </c>
    </row>
    <row r="23" spans="19:24" x14ac:dyDescent="0.2">
      <c r="S23" t="s">
        <v>169</v>
      </c>
      <c r="T23" s="139">
        <f>IF(Asistencia!K8="",0,Asistencia!K8)</f>
        <v>0.68503937007874016</v>
      </c>
      <c r="U23" t="str">
        <f>Resumen!C30</f>
        <v>Yoga</v>
      </c>
      <c r="V23" s="139">
        <f>IF(Resumen!G30="",0,Resumen!G30)</f>
        <v>0.62394781144781153</v>
      </c>
      <c r="W23" t="str">
        <f>Resumen!C10</f>
        <v>Tarde</v>
      </c>
      <c r="X23" s="139">
        <f>IF(Resumen!L10="",0,Resumen!L10)</f>
        <v>0.69602272727272718</v>
      </c>
    </row>
    <row r="24" spans="19:24" x14ac:dyDescent="0.2">
      <c r="S24" t="s">
        <v>170</v>
      </c>
      <c r="T24" s="139">
        <f>IF(Asistencia!L8="",0,Asistencia!L8)</f>
        <v>0.702755905511811</v>
      </c>
      <c r="U24" t="str">
        <f>Resumen!C31</f>
        <v>Ciclo indoor</v>
      </c>
      <c r="V24" s="139">
        <f>IF(Resumen!G31="",0,Resumen!G31)</f>
        <v>0.80324074074074081</v>
      </c>
      <c r="W24" t="str">
        <f>Resumen!C11</f>
        <v>Tarde-noche</v>
      </c>
      <c r="X24" s="139">
        <f>IF(Resumen!L11="",0,Resumen!L11)</f>
        <v>0.76623376623376627</v>
      </c>
    </row>
    <row r="25" spans="19:24" x14ac:dyDescent="0.2">
      <c r="S25" t="s">
        <v>171</v>
      </c>
      <c r="T25" s="139">
        <f>IF(Asistencia!M8="",0,Asistencia!M8)</f>
        <v>0.72834645669291342</v>
      </c>
      <c r="U25" t="str">
        <f>Resumen!C32</f>
        <v>Movilidad</v>
      </c>
      <c r="V25" s="139">
        <f>IF(Resumen!G32="",0,Resumen!G32)</f>
        <v>0.45244107744107737</v>
      </c>
      <c r="W25" t="str">
        <f>Resumen!C12</f>
        <v>Noche</v>
      </c>
      <c r="X25" s="139">
        <f>IF(Resumen!L12="",0,Resumen!L12)</f>
        <v>0.61197916666666674</v>
      </c>
    </row>
    <row r="26" spans="19:24" x14ac:dyDescent="0.2">
      <c r="S26" t="s">
        <v>172</v>
      </c>
      <c r="T26" s="139">
        <f>IF(Asistencia!N8="",0,Asistencia!N8)</f>
        <v>0.72244094488188981</v>
      </c>
      <c r="U26" t="str">
        <f>Resumen!C33</f>
        <v>Open box</v>
      </c>
      <c r="V26" s="139">
        <f>IF(Resumen!G33="",0,Resumen!G33)</f>
        <v>0.66477272727272729</v>
      </c>
    </row>
    <row r="27" spans="19:24" x14ac:dyDescent="0.2">
      <c r="S27" t="s">
        <v>173</v>
      </c>
      <c r="T27" s="139">
        <f>IF(Asistencia!O8="",0,Asistencia!O8)</f>
        <v>0.72637795275590555</v>
      </c>
      <c r="U27" t="str">
        <f>Resumen!C34</f>
        <v>Halterofilia</v>
      </c>
      <c r="V27" s="139">
        <f>IF(Resumen!G34="",0,Resumen!G34)</f>
        <v>0.50615530303030298</v>
      </c>
    </row>
    <row r="28" spans="19:24" x14ac:dyDescent="0.2">
      <c r="S28" t="s">
        <v>174</v>
      </c>
      <c r="T28" s="139">
        <f>IF(Asistencia!P8="",0,Asistencia!P8)</f>
        <v>0.72440944881889768</v>
      </c>
      <c r="U28" t="str">
        <f>Resumen!C35</f>
        <v>Core exprés</v>
      </c>
      <c r="V28" s="139">
        <f>IF(Resumen!G35="",0,Resumen!G35)</f>
        <v>0.2951388888888889</v>
      </c>
    </row>
    <row r="29" spans="19:24" x14ac:dyDescent="0.2">
      <c r="S29" t="s">
        <v>175</v>
      </c>
      <c r="T29" s="139">
        <f>IF(Asistencia!Q8="",0,Asistencia!Q8)</f>
        <v>0.73774509803921573</v>
      </c>
      <c r="U29" t="str">
        <f>Resumen!C36</f>
        <v>Funcional sénior</v>
      </c>
      <c r="V29" s="139">
        <f>IF(Resumen!G36="",0,Resumen!G36)</f>
        <v>0.84583333333333344</v>
      </c>
    </row>
    <row r="30" spans="19:24" x14ac:dyDescent="0.2">
      <c r="S30" t="s">
        <v>176</v>
      </c>
      <c r="T30" s="139">
        <f>IF(Asistencia!R8="",0,Asistencia!R8)</f>
        <v>0.71653543307086609</v>
      </c>
      <c r="U30" t="str">
        <f>Resumen!C37</f>
        <v/>
      </c>
      <c r="V30" s="139">
        <f>IF(Resumen!G37="",0,Resumen!G37)</f>
        <v>0</v>
      </c>
    </row>
    <row r="31" spans="19:24" x14ac:dyDescent="0.2">
      <c r="S31" t="s">
        <v>177</v>
      </c>
      <c r="T31" s="139">
        <f>IF(Asistencia!S8="",0,Asistencia!S8)</f>
        <v>0.7338709677419355</v>
      </c>
      <c r="U31" t="str">
        <f>Resumen!C38</f>
        <v/>
      </c>
      <c r="V31" s="139">
        <f>IF(Resumen!G38="",0,Resumen!G38)</f>
        <v>0</v>
      </c>
    </row>
    <row r="33" spans="2:2" x14ac:dyDescent="0.2">
      <c r="B33" s="55" t="s">
        <v>178</v>
      </c>
    </row>
  </sheetData>
  <mergeCells count="12">
    <mergeCell ref="B5:D5"/>
    <mergeCell ref="E7:G7"/>
    <mergeCell ref="E5:G5"/>
    <mergeCell ref="L7:N7"/>
    <mergeCell ref="I5:K5"/>
    <mergeCell ref="L5:N5"/>
    <mergeCell ref="I7:K7"/>
    <mergeCell ref="B7:D7"/>
    <mergeCell ref="L6:N6"/>
    <mergeCell ref="B6:D6"/>
    <mergeCell ref="E6:G6"/>
    <mergeCell ref="I6:K6"/>
  </mergeCells>
  <conditionalFormatting sqref="G11:G15">
    <cfRule type="expression" dxfId="8" priority="2">
      <formula>AND(ISNUMBER(G11),G11&gt;=$R$3)</formula>
    </cfRule>
    <cfRule type="expression" dxfId="7" priority="3">
      <formula>AND(ISNUMBER(G11),G11&gt;=$R$2)</formula>
    </cfRule>
    <cfRule type="expression" dxfId="6" priority="4">
      <formula>AND(ISNUMBER(G11),G11&gt;=$R$1)</formula>
    </cfRule>
    <cfRule type="expression" dxfId="5" priority="5">
      <formula>ISNUMBER(G11)</formula>
    </cfRule>
  </conditionalFormatting>
  <conditionalFormatting sqref="L6">
    <cfRule type="expression" dxfId="4" priority="1">
      <formula>L6&lt;0</formula>
    </cfRule>
  </conditionalFormatting>
  <conditionalFormatting sqref="N11:N15">
    <cfRule type="expression" dxfId="3" priority="6">
      <formula>AND(ISNUMBER(N11),N11&gt;=$R$3)</formula>
    </cfRule>
    <cfRule type="expression" dxfId="2" priority="7">
      <formula>AND(ISNUMBER(N11),N11&gt;=$R$2)</formula>
    </cfRule>
    <cfRule type="expression" dxfId="1" priority="8">
      <formula>AND(ISNUMBER(N11),N11&gt;=$R$1)</formula>
    </cfRule>
    <cfRule type="expression" dxfId="0" priority="9">
      <formula>ISNUMBER(N11)</formula>
    </cfRule>
  </conditionalFormatting>
  <printOptions horizontalCentered="1"/>
  <pageMargins left="0.4" right="0.4" top="0.45" bottom="0.55000000000000004" header="0.2" footer="0.25"/>
  <pageSetup paperSize="9" orientation="landscape"/>
  <headerFooter>
    <oddFooter>&amp;L&amp;"Arial,Regular"&amp;7 &amp;K5C697D&amp;A&amp;C&amp;"Arial,Regular"&amp;7 &amp;K5C697DPlantilla gratuita de GymGym · gymgym.es/recursos&amp;R&amp;"Arial,Regular"&amp;7 &amp;K5C697DPágina &amp;P de &amp;N</oddFooter>
  </headerFooter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B8C2D0"/>
    <pageSetUpPr fitToPage="1"/>
  </sheetPr>
  <dimension ref="B2:B10"/>
  <sheetViews>
    <sheetView showGridLines="0" workbookViewId="0"/>
  </sheetViews>
  <sheetFormatPr baseColWidth="10" defaultColWidth="8.83203125" defaultRowHeight="15" x14ac:dyDescent="0.2"/>
  <cols>
    <col min="1" max="1" width="3" customWidth="1"/>
    <col min="2" max="2" width="90" customWidth="1"/>
  </cols>
  <sheetData>
    <row r="2" spans="2:2" ht="30" customHeight="1" x14ac:dyDescent="0.25">
      <c r="B2" s="22" t="s">
        <v>179</v>
      </c>
    </row>
    <row r="3" spans="2:2" ht="5" customHeight="1" x14ac:dyDescent="0.2">
      <c r="B3" s="2"/>
    </row>
    <row r="5" spans="2:2" ht="34" customHeight="1" x14ac:dyDescent="0.2">
      <c r="B5" s="1" t="s">
        <v>180</v>
      </c>
    </row>
    <row r="6" spans="2:2" ht="8" customHeight="1" x14ac:dyDescent="0.2"/>
    <row r="7" spans="2:2" ht="34" customHeight="1" x14ac:dyDescent="0.2">
      <c r="B7" s="1" t="s">
        <v>181</v>
      </c>
    </row>
    <row r="8" spans="2:2" ht="8" customHeight="1" x14ac:dyDescent="0.2"/>
    <row r="9" spans="2:2" ht="20" customHeight="1" x14ac:dyDescent="0.2">
      <c r="B9" s="140" t="s">
        <v>182</v>
      </c>
    </row>
    <row r="10" spans="2:2" ht="8" customHeight="1" x14ac:dyDescent="0.2"/>
  </sheetData>
  <hyperlinks>
    <hyperlink ref="B9" r:id="rId1" xr:uid="{00000000-0004-0000-0800-000000000000}"/>
  </hyperlinks>
  <printOptions horizontalCentered="1"/>
  <pageMargins left="0.4" right="0.4" top="0.45" bottom="0.55000000000000004" header="0.2" footer="0.25"/>
  <pageSetup paperSize="9" orientation="portrait"/>
  <headerFooter>
    <oddFooter>&amp;L&amp;"Arial,Regular"&amp;7 &amp;K5C697D&amp;A&amp;C&amp;"Arial,Regular"&amp;7 &amp;K5C697DPlantilla gratuita de GymGym · gymgym.es/recursos&amp;R&amp;"Arial,Regular"&amp;7 &amp;K5C697DPágina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Empieza aquí</vt:lpstr>
      <vt:lpstr>Configuración</vt:lpstr>
      <vt:lpstr>Clases</vt:lpstr>
      <vt:lpstr>Horario</vt:lpstr>
      <vt:lpstr>Asistencia</vt:lpstr>
      <vt:lpstr>Ocupación</vt:lpstr>
      <vt:lpstr>Resumen</vt:lpstr>
      <vt:lpstr>Panel</vt:lpstr>
      <vt:lpstr>Cuando la hoja se queda corta</vt:lpstr>
      <vt:lpstr>Configuración!Área_de_impresión</vt:lpstr>
      <vt:lpstr>'Cuando la hoja se queda corta'!Área_de_impresión</vt:lpstr>
      <vt:lpstr>'Empieza aquí'!Área_de_impresión</vt:lpstr>
      <vt:lpstr>Panel!Área_de_impresión</vt:lpstr>
      <vt:lpstr>Resumen!Área_de_impresión</vt:lpstr>
      <vt:lpstr>Asistencia!Títulos_a_imprimir</vt:lpstr>
      <vt:lpstr>Clases!Títulos_a_imprimir</vt:lpstr>
      <vt:lpstr>Ocupación!Títulos_a_imprimir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Horario de clases y ocupación · GymGym</dc:title>
  <dc:subject>Horario semanal, asistencia y ocupación de clases para gimnasios, boxes y estudios</dc:subject>
  <dc:creator>GymGym</dc:creator>
  <cp:keywords>horario, clases, ocupación, asistencia, gimnasio, box, estudio</cp:keywords>
  <cp:lastModifiedBy>Alejo Martín Arias Filippo</cp:lastModifiedBy>
  <dcterms:created xsi:type="dcterms:W3CDTF">2026-11-02T18:05:14Z</dcterms:created>
  <dcterms:modified xsi:type="dcterms:W3CDTF">2026-11-02T18:05:15Z</dcterms:modified>
</cp:coreProperties>
</file>