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alejomaf/Library/Containers/com.microsoft.Excel/Data/tmp/gg-recursos/"/>
    </mc:Choice>
  </mc:AlternateContent>
  <xr:revisionPtr revIDLastSave="0" documentId="13_ncr:1_{EED65BA5-E75B-1549-80CB-733813F148CB}" xr6:coauthVersionLast="47" xr6:coauthVersionMax="47" xr10:uidLastSave="{00000000-0000-0000-0000-000000000000}"/>
  <bookViews>
    <workbookView xWindow="0" yWindow="600" windowWidth="38400" windowHeight="19360" xr2:uid="{00000000-000D-0000-FFFF-FFFF00000000}"/>
  </bookViews>
  <sheets>
    <sheet name="Empieza aquí" sheetId="1" r:id="rId1"/>
    <sheet name="Objetivos" sheetId="2" r:id="rId2"/>
    <sheet name="Datos del mes" sheetId="3" r:id="rId3"/>
    <sheet name="Panel" sheetId="4" r:id="rId4"/>
    <sheet name="Indicadores" sheetId="5" r:id="rId5"/>
    <sheet name="Glosario" sheetId="6" r:id="rId6"/>
    <sheet name="Cuando la hoja se queda corta" sheetId="7" r:id="rId7"/>
    <sheet name="Cálculos panel" sheetId="8" state="hidden" r:id="rId8"/>
  </sheets>
  <definedNames>
    <definedName name="_xlnm.Print_Area" localSheetId="7">'Cálculos panel'!$A$1:$O$62</definedName>
    <definedName name="_xlnm.Print_Area" localSheetId="6">'Cuando la hoja se queda corta'!$A$1:$C$9</definedName>
    <definedName name="_xlnm.Print_Area" localSheetId="2">'Datos del mes'!$A$1:$P$39</definedName>
    <definedName name="_xlnm.Print_Area" localSheetId="0">'Empieza aquí'!$A$1:$E$52</definedName>
    <definedName name="_xlnm.Print_Area" localSheetId="5">Glosario!$A$1:$F$26</definedName>
    <definedName name="_xlnm.Print_Area" localSheetId="4">Indicadores!$A$1:$R$41</definedName>
    <definedName name="_xlnm.Print_Area" localSheetId="1">Objetivos!$A$1:$I$25</definedName>
    <definedName name="_xlnm.Print_Area" localSheetId="3">Panel!$A$1:$AT$48</definedName>
    <definedName name="_xlnm.Print_Titles" localSheetId="5">Glosario!$5:$5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8" l="1"/>
  <c r="O37" i="5"/>
  <c r="N37" i="5"/>
  <c r="M37" i="5"/>
  <c r="L37" i="5"/>
  <c r="K37" i="5"/>
  <c r="J37" i="5"/>
  <c r="J39" i="5" s="1"/>
  <c r="I37" i="5"/>
  <c r="I39" i="5" s="1"/>
  <c r="H37" i="5"/>
  <c r="H39" i="5" s="1"/>
  <c r="G37" i="5"/>
  <c r="G39" i="5" s="1"/>
  <c r="F37" i="5"/>
  <c r="F39" i="5" s="1"/>
  <c r="E37" i="5"/>
  <c r="D37" i="5"/>
  <c r="D27" i="5" s="1"/>
  <c r="R32" i="5"/>
  <c r="H60" i="8" s="1"/>
  <c r="Q32" i="5"/>
  <c r="G60" i="8" s="1"/>
  <c r="AQ20" i="4" s="1"/>
  <c r="O32" i="5"/>
  <c r="N32" i="5"/>
  <c r="M32" i="5"/>
  <c r="L32" i="5"/>
  <c r="K32" i="5"/>
  <c r="J32" i="5"/>
  <c r="I32" i="5"/>
  <c r="H32" i="5"/>
  <c r="G32" i="5"/>
  <c r="F32" i="5"/>
  <c r="E32" i="5"/>
  <c r="D32" i="5"/>
  <c r="P32" i="5" s="1"/>
  <c r="R30" i="5"/>
  <c r="H55" i="8" s="1"/>
  <c r="Q30" i="5"/>
  <c r="G55" i="8" s="1"/>
  <c r="AQ12" i="4" s="1"/>
  <c r="R28" i="5"/>
  <c r="H54" i="8" s="1"/>
  <c r="Q28" i="5"/>
  <c r="G54" i="8" s="1"/>
  <c r="AH12" i="4" s="1"/>
  <c r="J27" i="5"/>
  <c r="I27" i="5"/>
  <c r="H27" i="5"/>
  <c r="G27" i="5"/>
  <c r="F27" i="5"/>
  <c r="O26" i="5"/>
  <c r="N26" i="5"/>
  <c r="M26" i="5"/>
  <c r="L26" i="5"/>
  <c r="K26" i="5"/>
  <c r="J26" i="5"/>
  <c r="I26" i="5"/>
  <c r="H26" i="5"/>
  <c r="G26" i="5"/>
  <c r="F26" i="5"/>
  <c r="E26" i="5"/>
  <c r="D26" i="5"/>
  <c r="P26" i="5" s="1"/>
  <c r="R25" i="5"/>
  <c r="H53" i="8" s="1"/>
  <c r="Q25" i="5"/>
  <c r="G53" i="8" s="1"/>
  <c r="Y12" i="4" s="1"/>
  <c r="O25" i="5"/>
  <c r="N25" i="5"/>
  <c r="M25" i="5"/>
  <c r="L25" i="5"/>
  <c r="K25" i="5"/>
  <c r="J25" i="5"/>
  <c r="I25" i="5"/>
  <c r="H25" i="5"/>
  <c r="G25" i="5"/>
  <c r="F25" i="5"/>
  <c r="E25" i="5"/>
  <c r="D25" i="5"/>
  <c r="P25" i="5" s="1"/>
  <c r="O24" i="5"/>
  <c r="N24" i="5"/>
  <c r="M24" i="5"/>
  <c r="L24" i="5"/>
  <c r="K24" i="5"/>
  <c r="J24" i="5"/>
  <c r="I24" i="5"/>
  <c r="H24" i="5"/>
  <c r="G24" i="5"/>
  <c r="F24" i="5"/>
  <c r="E24" i="5"/>
  <c r="D24" i="5"/>
  <c r="O23" i="5"/>
  <c r="N23" i="5"/>
  <c r="M23" i="5"/>
  <c r="L23" i="5"/>
  <c r="K23" i="5"/>
  <c r="J23" i="5"/>
  <c r="I23" i="5"/>
  <c r="H23" i="5"/>
  <c r="G23" i="5"/>
  <c r="F23" i="5"/>
  <c r="E23" i="5"/>
  <c r="D23" i="5"/>
  <c r="R21" i="5"/>
  <c r="H59" i="8" s="1"/>
  <c r="Q21" i="5"/>
  <c r="G59" i="8" s="1"/>
  <c r="AH20" i="4" s="1"/>
  <c r="O21" i="5"/>
  <c r="N21" i="5"/>
  <c r="M21" i="5"/>
  <c r="L21" i="5"/>
  <c r="K21" i="5"/>
  <c r="J21" i="5"/>
  <c r="I21" i="5"/>
  <c r="H21" i="5"/>
  <c r="G21" i="5"/>
  <c r="F21" i="5"/>
  <c r="E21" i="5"/>
  <c r="D21" i="5"/>
  <c r="R19" i="5"/>
  <c r="H58" i="8" s="1"/>
  <c r="Q19" i="5"/>
  <c r="G58" i="8" s="1"/>
  <c r="Y20" i="4" s="1"/>
  <c r="R18" i="5"/>
  <c r="H57" i="8" s="1"/>
  <c r="Q18" i="5"/>
  <c r="G57" i="8" s="1"/>
  <c r="P20" i="4" s="1"/>
  <c r="O16" i="5"/>
  <c r="N16" i="5"/>
  <c r="M16" i="5"/>
  <c r="L16" i="5"/>
  <c r="K16" i="5"/>
  <c r="J16" i="5"/>
  <c r="I16" i="5"/>
  <c r="H16" i="5"/>
  <c r="G16" i="5"/>
  <c r="F16" i="5"/>
  <c r="E16" i="5"/>
  <c r="D16" i="5"/>
  <c r="O15" i="5"/>
  <c r="O19" i="5" s="1"/>
  <c r="N15" i="5"/>
  <c r="M15" i="5"/>
  <c r="L15" i="5"/>
  <c r="K15" i="5"/>
  <c r="K19" i="5" s="1"/>
  <c r="J15" i="5"/>
  <c r="I15" i="5"/>
  <c r="H15" i="5"/>
  <c r="H19" i="5" s="1"/>
  <c r="G15" i="5"/>
  <c r="G19" i="5" s="1"/>
  <c r="F15" i="5"/>
  <c r="F19" i="5" s="1"/>
  <c r="E15" i="5"/>
  <c r="E19" i="5" s="1"/>
  <c r="D15" i="5"/>
  <c r="D19" i="5" s="1"/>
  <c r="R12" i="5"/>
  <c r="H52" i="8" s="1"/>
  <c r="Q12" i="5"/>
  <c r="O9" i="5"/>
  <c r="N9" i="5"/>
  <c r="M9" i="5"/>
  <c r="L9" i="5"/>
  <c r="K9" i="5"/>
  <c r="J9" i="5"/>
  <c r="I9" i="5"/>
  <c r="H9" i="5"/>
  <c r="G9" i="5"/>
  <c r="F9" i="5"/>
  <c r="E9" i="5"/>
  <c r="D9" i="5"/>
  <c r="O8" i="5"/>
  <c r="O11" i="5" s="1"/>
  <c r="N8" i="5"/>
  <c r="N11" i="5" s="1"/>
  <c r="M8" i="5"/>
  <c r="M11" i="5" s="1"/>
  <c r="L8" i="5"/>
  <c r="L11" i="5" s="1"/>
  <c r="K8" i="5"/>
  <c r="K11" i="5" s="1"/>
  <c r="J8" i="5"/>
  <c r="J11" i="5" s="1"/>
  <c r="I8" i="5"/>
  <c r="I11" i="5" s="1"/>
  <c r="H8" i="5"/>
  <c r="H11" i="5" s="1"/>
  <c r="G8" i="5"/>
  <c r="G11" i="5" s="1"/>
  <c r="F8" i="5"/>
  <c r="F11" i="5" s="1"/>
  <c r="E8" i="5"/>
  <c r="E11" i="5" s="1"/>
  <c r="D8" i="5"/>
  <c r="O7" i="5"/>
  <c r="N7" i="5"/>
  <c r="D7" i="5"/>
  <c r="P7" i="5" s="1"/>
  <c r="O38" i="3"/>
  <c r="N38" i="3"/>
  <c r="M38" i="3"/>
  <c r="L38" i="3"/>
  <c r="K38" i="3"/>
  <c r="J38" i="3"/>
  <c r="I38" i="3"/>
  <c r="H38" i="3"/>
  <c r="G38" i="3"/>
  <c r="F38" i="3"/>
  <c r="E38" i="3"/>
  <c r="D38" i="3"/>
  <c r="O37" i="3"/>
  <c r="O39" i="3" s="1"/>
  <c r="N37" i="3"/>
  <c r="N39" i="3" s="1"/>
  <c r="M37" i="3"/>
  <c r="M39" i="3" s="1"/>
  <c r="L37" i="3"/>
  <c r="L39" i="3" s="1"/>
  <c r="K37" i="3"/>
  <c r="K39" i="3" s="1"/>
  <c r="J37" i="3"/>
  <c r="J39" i="3" s="1"/>
  <c r="I37" i="3"/>
  <c r="I39" i="3" s="1"/>
  <c r="H37" i="3"/>
  <c r="H39" i="3" s="1"/>
  <c r="G37" i="3"/>
  <c r="G39" i="3" s="1"/>
  <c r="F37" i="3"/>
  <c r="F39" i="3" s="1"/>
  <c r="E37" i="3"/>
  <c r="E39" i="3" s="1"/>
  <c r="D37" i="3"/>
  <c r="D39" i="3" s="1"/>
  <c r="P34" i="3"/>
  <c r="P33" i="3"/>
  <c r="P31" i="3"/>
  <c r="P30" i="3"/>
  <c r="P28" i="3"/>
  <c r="P27" i="3"/>
  <c r="P26" i="3"/>
  <c r="P25" i="3"/>
  <c r="P23" i="3"/>
  <c r="P22" i="3"/>
  <c r="P21" i="3"/>
  <c r="P20" i="3"/>
  <c r="P19" i="3"/>
  <c r="P38" i="3" s="1"/>
  <c r="P17" i="3"/>
  <c r="P16" i="3"/>
  <c r="P15" i="3"/>
  <c r="P14" i="3"/>
  <c r="P13" i="3"/>
  <c r="P11" i="3"/>
  <c r="P10" i="3"/>
  <c r="P8" i="3"/>
  <c r="O8" i="3"/>
  <c r="N8" i="3"/>
  <c r="M8" i="3"/>
  <c r="L8" i="3"/>
  <c r="K8" i="3"/>
  <c r="J8" i="3"/>
  <c r="I8" i="3"/>
  <c r="H8" i="3"/>
  <c r="G8" i="3"/>
  <c r="F8" i="3"/>
  <c r="E8" i="3"/>
  <c r="D8" i="3"/>
  <c r="B5" i="3"/>
  <c r="H17" i="2"/>
  <c r="G17" i="2"/>
  <c r="F17" i="2"/>
  <c r="H16" i="2"/>
  <c r="G16" i="2"/>
  <c r="F16" i="2"/>
  <c r="H15" i="2"/>
  <c r="G15" i="2"/>
  <c r="F15" i="2"/>
  <c r="H14" i="2"/>
  <c r="G14" i="2"/>
  <c r="F14" i="2"/>
  <c r="H13" i="2"/>
  <c r="G13" i="2"/>
  <c r="F13" i="2"/>
  <c r="H12" i="2"/>
  <c r="G12" i="2"/>
  <c r="F12" i="2"/>
  <c r="H11" i="2"/>
  <c r="G11" i="2"/>
  <c r="F11" i="2"/>
  <c r="H10" i="2"/>
  <c r="G10" i="2"/>
  <c r="F10" i="2"/>
  <c r="N12" i="5" l="1"/>
  <c r="N13" i="5" s="1"/>
  <c r="J28" i="5"/>
  <c r="H28" i="5"/>
  <c r="G28" i="5"/>
  <c r="F28" i="5"/>
  <c r="P21" i="5"/>
  <c r="P16" i="5"/>
  <c r="I28" i="5"/>
  <c r="P24" i="5"/>
  <c r="P23" i="5"/>
  <c r="O12" i="5"/>
  <c r="O13" i="5" s="1"/>
  <c r="P37" i="3"/>
  <c r="P39" i="3" s="1"/>
  <c r="O39" i="5"/>
  <c r="O27" i="5"/>
  <c r="O28" i="5" s="1"/>
  <c r="N39" i="5"/>
  <c r="N27" i="5"/>
  <c r="N28" i="5" s="1"/>
  <c r="M39" i="5"/>
  <c r="M27" i="5"/>
  <c r="M28" i="5" s="1"/>
  <c r="L39" i="5"/>
  <c r="L27" i="5"/>
  <c r="L28" i="5" s="1"/>
  <c r="K39" i="5"/>
  <c r="K27" i="5"/>
  <c r="K28" i="5" s="1"/>
  <c r="E39" i="5"/>
  <c r="E27" i="5"/>
  <c r="P37" i="5"/>
  <c r="D39" i="5"/>
  <c r="P39" i="5" s="1"/>
  <c r="D28" i="5"/>
  <c r="O17" i="5"/>
  <c r="O18" i="5" s="1"/>
  <c r="N17" i="5"/>
  <c r="N18" i="5" s="1"/>
  <c r="N19" i="5"/>
  <c r="M17" i="5"/>
  <c r="M18" i="5" s="1"/>
  <c r="M19" i="5"/>
  <c r="L17" i="5"/>
  <c r="L18" i="5" s="1"/>
  <c r="L19" i="5"/>
  <c r="K17" i="5"/>
  <c r="K18" i="5" s="1"/>
  <c r="J17" i="5"/>
  <c r="J18" i="5" s="1"/>
  <c r="J19" i="5"/>
  <c r="I19" i="5"/>
  <c r="I17" i="5"/>
  <c r="I18" i="5" s="1"/>
  <c r="H17" i="5"/>
  <c r="H18" i="5" s="1"/>
  <c r="G17" i="5"/>
  <c r="G18" i="5" s="1"/>
  <c r="F17" i="5"/>
  <c r="F18" i="5" s="1"/>
  <c r="E17" i="5"/>
  <c r="E18" i="5" s="1"/>
  <c r="P15" i="5"/>
  <c r="D17" i="5"/>
  <c r="D18" i="5" s="1"/>
  <c r="J48" i="8"/>
  <c r="K48" i="8"/>
  <c r="H48" i="8"/>
  <c r="L48" i="8"/>
  <c r="M48" i="8"/>
  <c r="N48" i="8"/>
  <c r="O48" i="8"/>
  <c r="G52" i="8"/>
  <c r="P12" i="4" s="1"/>
  <c r="I48" i="8"/>
  <c r="G48" i="8"/>
  <c r="F48" i="8"/>
  <c r="E48" i="8"/>
  <c r="D48" i="8"/>
  <c r="P9" i="5"/>
  <c r="D12" i="5"/>
  <c r="P8" i="5"/>
  <c r="D11" i="5"/>
  <c r="P11" i="5" s="1"/>
  <c r="D10" i="5"/>
  <c r="O10" i="5"/>
  <c r="O38" i="5" s="1"/>
  <c r="N10" i="5"/>
  <c r="N38" i="5" s="1"/>
  <c r="P17" i="5" l="1"/>
  <c r="P18" i="5" s="1"/>
  <c r="E28" i="5"/>
  <c r="P28" i="5" s="1"/>
  <c r="P27" i="5"/>
  <c r="C5" i="8"/>
  <c r="C6" i="8" s="1"/>
  <c r="D13" i="5"/>
  <c r="D38" i="5"/>
  <c r="E7" i="5"/>
  <c r="P19" i="5"/>
  <c r="O20" i="5"/>
  <c r="O29" i="5" s="1"/>
  <c r="O30" i="5" s="1"/>
  <c r="O33" i="5"/>
  <c r="N20" i="5"/>
  <c r="N29" i="5" s="1"/>
  <c r="N30" i="5" s="1"/>
  <c r="N33" i="5"/>
  <c r="D53" i="8" l="1"/>
  <c r="C53" i="8"/>
  <c r="J51" i="8"/>
  <c r="I51" i="8"/>
  <c r="C45" i="8"/>
  <c r="C43" i="8"/>
  <c r="C38" i="8"/>
  <c r="C10" i="8"/>
  <c r="D37" i="8"/>
  <c r="B37" i="8" s="1"/>
  <c r="C37" i="8"/>
  <c r="D60" i="8"/>
  <c r="C60" i="8"/>
  <c r="D59" i="8"/>
  <c r="C59" i="8"/>
  <c r="D58" i="8"/>
  <c r="C58" i="8"/>
  <c r="C41" i="8"/>
  <c r="C7" i="8"/>
  <c r="D57" i="8"/>
  <c r="C57" i="8"/>
  <c r="I56" i="8"/>
  <c r="B20" i="4" s="1"/>
  <c r="D56" i="8"/>
  <c r="C56" i="8"/>
  <c r="D54" i="8"/>
  <c r="C54" i="8"/>
  <c r="C44" i="8"/>
  <c r="C42" i="8"/>
  <c r="D38" i="8"/>
  <c r="B38" i="8" s="1"/>
  <c r="C36" i="8"/>
  <c r="C11" i="8"/>
  <c r="C8" i="8"/>
  <c r="C9" i="8" s="1"/>
  <c r="C12" i="8" s="1"/>
  <c r="B2" i="4" s="1"/>
  <c r="D20" i="5"/>
  <c r="D33" i="5"/>
  <c r="E12" i="5"/>
  <c r="E10" i="5"/>
  <c r="F7" i="5" s="1"/>
  <c r="E38" i="5"/>
  <c r="B12" i="4" l="1"/>
  <c r="C13" i="8"/>
  <c r="B3" i="4" s="1"/>
  <c r="E53" i="8"/>
  <c r="F53" i="8"/>
  <c r="T12" i="4" s="1"/>
  <c r="T10" i="4"/>
  <c r="E60" i="8"/>
  <c r="F60" i="8"/>
  <c r="AL20" i="4" s="1"/>
  <c r="AL18" i="4"/>
  <c r="E59" i="8"/>
  <c r="F59" i="8"/>
  <c r="AC20" i="4" s="1"/>
  <c r="AC18" i="4"/>
  <c r="E58" i="8"/>
  <c r="F58" i="8"/>
  <c r="T20" i="4" s="1"/>
  <c r="T18" i="4"/>
  <c r="C46" i="8"/>
  <c r="D41" i="8"/>
  <c r="B41" i="8" s="1"/>
  <c r="E57" i="8"/>
  <c r="F57" i="8"/>
  <c r="K20" i="4" s="1"/>
  <c r="K18" i="4"/>
  <c r="E56" i="8"/>
  <c r="B18" i="4"/>
  <c r="E54" i="8"/>
  <c r="F54" i="8"/>
  <c r="AC12" i="4" s="1"/>
  <c r="AC10" i="4"/>
  <c r="Q36" i="4"/>
  <c r="AF36" i="4"/>
  <c r="D29" i="5"/>
  <c r="D30" i="5" s="1"/>
  <c r="E13" i="5"/>
  <c r="F12" i="5"/>
  <c r="F10" i="5"/>
  <c r="E20" i="5"/>
  <c r="E29" i="5" s="1"/>
  <c r="E30" i="5" s="1"/>
  <c r="E33" i="5"/>
  <c r="T11" i="4" l="1"/>
  <c r="X11" i="4"/>
  <c r="AL19" i="4"/>
  <c r="AP19" i="4"/>
  <c r="AC19" i="4"/>
  <c r="AG19" i="4"/>
  <c r="T19" i="4"/>
  <c r="X19" i="4"/>
  <c r="D42" i="8"/>
  <c r="B42" i="8" s="1"/>
  <c r="D44" i="8"/>
  <c r="B44" i="8" s="1"/>
  <c r="D43" i="8"/>
  <c r="B43" i="8" s="1"/>
  <c r="D45" i="8"/>
  <c r="B45" i="8" s="1"/>
  <c r="K19" i="4"/>
  <c r="O19" i="4"/>
  <c r="B19" i="4"/>
  <c r="F19" i="4"/>
  <c r="AC11" i="4"/>
  <c r="AG11" i="4"/>
  <c r="F13" i="5"/>
  <c r="G7" i="5"/>
  <c r="F38" i="5"/>
  <c r="G10" i="5" l="1"/>
  <c r="G12" i="5"/>
  <c r="F33" i="5"/>
  <c r="F20" i="5"/>
  <c r="G13" i="5" l="1"/>
  <c r="F29" i="5"/>
  <c r="F30" i="5" s="1"/>
  <c r="H7" i="5"/>
  <c r="G38" i="5"/>
  <c r="H10" i="5" l="1"/>
  <c r="H12" i="5"/>
  <c r="G33" i="5"/>
  <c r="G20" i="5"/>
  <c r="H13" i="5" l="1"/>
  <c r="G29" i="5"/>
  <c r="G30" i="5" s="1"/>
  <c r="I7" i="5"/>
  <c r="H38" i="5"/>
  <c r="I10" i="5" l="1"/>
  <c r="I12" i="5"/>
  <c r="H33" i="5"/>
  <c r="H20" i="5"/>
  <c r="I13" i="5" l="1"/>
  <c r="H29" i="5"/>
  <c r="H30" i="5" s="1"/>
  <c r="J7" i="5"/>
  <c r="I38" i="5"/>
  <c r="J10" i="5" l="1"/>
  <c r="J12" i="5"/>
  <c r="I33" i="5"/>
  <c r="I20" i="5"/>
  <c r="J13" i="5" l="1"/>
  <c r="I29" i="5"/>
  <c r="I30" i="5" s="1"/>
  <c r="K7" i="5"/>
  <c r="J38" i="5"/>
  <c r="K10" i="5" l="1"/>
  <c r="K12" i="5"/>
  <c r="J33" i="5"/>
  <c r="J20" i="5"/>
  <c r="K13" i="5" l="1"/>
  <c r="J29" i="5"/>
  <c r="J30" i="5" s="1"/>
  <c r="L7" i="5"/>
  <c r="K38" i="5"/>
  <c r="L10" i="5" l="1"/>
  <c r="L38" i="5" s="1"/>
  <c r="L12" i="5"/>
  <c r="K33" i="5"/>
  <c r="K20" i="5"/>
  <c r="D51" i="8" l="1"/>
  <c r="M7" i="5"/>
  <c r="L20" i="5"/>
  <c r="L29" i="5" s="1"/>
  <c r="L30" i="5" s="1"/>
  <c r="D55" i="8" s="1"/>
  <c r="L33" i="5"/>
  <c r="D52" i="8"/>
  <c r="L13" i="5"/>
  <c r="K29" i="5"/>
  <c r="K30" i="5" s="1"/>
  <c r="M12" i="5" l="1"/>
  <c r="M10" i="5"/>
  <c r="M38" i="5"/>
  <c r="P12" i="5" l="1"/>
  <c r="P13" i="5" s="1"/>
  <c r="C52" i="8"/>
  <c r="M13" i="5"/>
  <c r="C51" i="8"/>
  <c r="P10" i="5"/>
  <c r="M20" i="5"/>
  <c r="M33" i="5"/>
  <c r="P33" i="5" s="1"/>
  <c r="K10" i="4" l="1"/>
  <c r="F52" i="8"/>
  <c r="K12" i="4" s="1"/>
  <c r="E52" i="8"/>
  <c r="B10" i="4"/>
  <c r="E51" i="8"/>
  <c r="P20" i="5"/>
  <c r="P29" i="5" s="1"/>
  <c r="P30" i="5" s="1"/>
  <c r="J56" i="8"/>
  <c r="G20" i="4" s="1"/>
  <c r="M29" i="5"/>
  <c r="M30" i="5" s="1"/>
  <c r="C55" i="8" s="1"/>
  <c r="K11" i="4" l="1"/>
  <c r="O11" i="4"/>
  <c r="B11" i="4"/>
  <c r="F11" i="4"/>
  <c r="AL10" i="4"/>
  <c r="F55" i="8"/>
  <c r="AL12" i="4" s="1"/>
  <c r="E55" i="8"/>
  <c r="AL11" i="4" l="1"/>
  <c r="AP1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GymGym</author>
  </authors>
  <commentList>
    <comment ref="C6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El año de los datos. Sale en los títulos del panel. Para empezar un año nuevo, guarda una copia del archivo y vacía «Datos del mes».</t>
        </r>
      </text>
    </comment>
    <comment ref="D9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Para porcentajes escribe el número con su signo, por ejemplo 4%. Para el coste por alta, euros (70). Para LTV:CAC, veces (3).</t>
        </r>
      </text>
    </comment>
    <comment ref="E9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Cuánto te puedes alejar del objetivo antes de pasar a coral. En los porcentajes se escribe en puntos y sin %: con un objetivo de bajas del 4,0 % y un margen de 1,5 (puntos), el semáforo es ámbar entre el 4,0 % y el 5,5 % y coral por encima.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GymGym</author>
  </authors>
  <commentList>
    <comment ref="B5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Socios con cuota en vigor el 1 de enero. Es el único dato de socios que escribes: el resto se calcula con las altas y las bajas de cada mes.</t>
        </r>
      </text>
    </comment>
    <comment ref="B8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Te avisa si a un mes le falta algún dato. «Inversión en captación» es opcional y no cuenta.</t>
        </r>
      </text>
    </comment>
    <comment ref="B10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Socios nuevos que empiezan a pagar cuota este mes, incluidos los que vuelven después de una baja.</t>
        </r>
      </text>
    </comment>
    <comment ref="B11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Socios que dejan de tener cuota este mes. Cuenta también las bajas temporales si ese mes no pagan.</t>
        </r>
      </text>
    </comment>
    <comment ref="B13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Cuotas mensuales, trimestrales o anuales imputadas a este mes, sin IVA.</t>
        </r>
      </text>
    </comment>
    <comment ref="B16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Ropa, suplementos, bebidas…</t>
        </r>
      </text>
    </comment>
    <comment ref="B17" authorId="0" shapeId="0" xr:uid="{00000000-0006-0000-0200-000007000000}">
      <text>
        <r>
          <rPr>
            <sz val="11"/>
            <color theme="1"/>
            <rFont val="Calibri"/>
            <family val="2"/>
            <scheme val="minor"/>
          </rPr>
          <t>Matrículas, eventos, alquiler de sala…</t>
        </r>
      </text>
    </comment>
    <comment ref="B19" authorId="0" shapeId="0" xr:uid="{00000000-0006-0000-0200-000008000000}">
      <text>
        <r>
          <rPr>
            <sz val="11"/>
            <color theme="1"/>
            <rFont val="Calibri"/>
            <family val="2"/>
            <scheme val="minor"/>
          </rPr>
          <t>Nóminas, Seguridad Social y entrenadores que te facturan. Si eres autónomo y trabajas en el centro, incluye tu cuota y lo que te pagas.</t>
        </r>
      </text>
    </comment>
    <comment ref="B21" authorId="0" shapeId="0" xr:uid="{00000000-0006-0000-0200-000009000000}">
      <text>
        <r>
          <rPr>
            <sz val="11"/>
            <color theme="1"/>
            <rFont val="Calibri"/>
            <family val="2"/>
            <scheme val="minor"/>
          </rPr>
          <t>Luz, agua, gas, internet y teléfono.</t>
        </r>
      </text>
    </comment>
    <comment ref="B23" authorId="0" shapeId="0" xr:uid="{00000000-0006-0000-0200-00000A000000}">
      <text>
        <r>
          <rPr>
            <sz val="11"/>
            <color theme="1"/>
            <rFont val="Calibri"/>
            <family val="2"/>
            <scheme val="minor"/>
          </rPr>
          <t>Mantenimiento, limpieza, seguros, software, gestoría, material pequeño… Las cuotas de préstamos y las amortizaciones no van aquí.</t>
        </r>
      </text>
    </comment>
    <comment ref="B25" authorId="0" shapeId="0" xr:uid="{00000000-0006-0000-0200-00000B000000}">
      <text>
        <r>
          <rPr>
            <sz val="11"/>
            <color theme="1"/>
            <rFont val="Calibri"/>
            <family val="2"/>
            <scheme val="minor"/>
          </rPr>
          <t>Personas que preguntan por primera vez: formulario de la web, WhatsApp, llamada, redes o visita.</t>
        </r>
      </text>
    </comment>
    <comment ref="B26" authorId="0" shapeId="0" xr:uid="{00000000-0006-0000-0200-00000C000000}">
      <text>
        <r>
          <rPr>
            <sz val="11"/>
            <color theme="1"/>
            <rFont val="Calibri"/>
            <family val="2"/>
            <scheme val="minor"/>
          </rPr>
          <t>Personas que vinieron a probar o a ver el centro este mes.</t>
        </r>
      </text>
    </comment>
    <comment ref="B27" authorId="0" shapeId="0" xr:uid="{00000000-0006-0000-0200-00000D000000}">
      <text>
        <r>
          <rPr>
            <sz val="11"/>
            <color theme="1"/>
            <rFont val="Calibri"/>
            <family val="2"/>
            <scheme val="minor"/>
          </rPr>
          <t>De las altas del mes, cuántas hicieron antes una visita o clase de prueba.</t>
        </r>
      </text>
    </comment>
    <comment ref="B28" authorId="0" shapeId="0" xr:uid="{00000000-0006-0000-0200-00000E000000}">
      <text>
        <r>
          <rPr>
            <sz val="11"/>
            <color theme="1"/>
            <rFont val="Calibri"/>
            <family val="2"/>
            <scheme val="minor"/>
          </rPr>
          <t>Lo que gastas solo en conseguir socios nuevos: anuncios, promociones, comisiones… Si lo dejas vacío, el coste por alta usa la línea «Marketing y publicidad».</t>
        </r>
      </text>
    </comment>
    <comment ref="B30" authorId="0" shapeId="0" xr:uid="{00000000-0006-0000-0200-00000F000000}">
      <text>
        <r>
          <rPr>
            <sz val="11"/>
            <color theme="1"/>
            <rFont val="Calibri"/>
            <family val="2"/>
            <scheme val="minor"/>
          </rPr>
          <t>Suma del aforo de todas las clases del mes. Ejemplo: 140 clases × 14 plazas = 1.960.</t>
        </r>
      </text>
    </comment>
    <comment ref="B31" authorId="0" shapeId="0" xr:uid="{00000000-0006-0000-0200-000010000000}">
      <text>
        <r>
          <rPr>
            <sz val="11"/>
            <color theme="1"/>
            <rFont val="Calibri"/>
            <family val="2"/>
            <scheme val="minor"/>
          </rPr>
          <t>Plazas ocupadas por gente que vino de verdad (no cuentes las reservas que no se presentaron).</t>
        </r>
      </text>
    </comment>
    <comment ref="B33" authorId="0" shapeId="0" xr:uid="{00000000-0006-0000-0200-000011000000}">
      <text>
        <r>
          <rPr>
            <sz val="11"/>
            <color theme="1"/>
            <rFont val="Calibri"/>
            <family val="2"/>
            <scheme val="minor"/>
          </rPr>
          <t>Total de recibos y cuotas que tocaba cobrar este mes.</t>
        </r>
      </text>
    </comment>
    <comment ref="B34" authorId="0" shapeId="0" xr:uid="{00000000-0006-0000-0200-000012000000}">
      <text>
        <r>
          <rPr>
            <sz val="11"/>
            <color theme="1"/>
            <rFont val="Calibri"/>
            <family val="2"/>
            <scheme val="minor"/>
          </rPr>
          <t>De lo emitido, lo que no has cobrado a fin de mes: recibos devueltos, tarjetas rechazadas, pendientes…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GymGym</author>
  </authors>
  <commentList>
    <comment ref="AH2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Elige un mes o deja «Último mes con datos» para que el panel enseñe siempre el mes más reciente que hayas rellenado.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GymGym</author>
  </authors>
  <commentList>
    <comment ref="P5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Acumulado del año hasta el último mes con datos. En los porcentajes es la media del año ponderada: por ejemplo, bajas del año ÷ suma de los socios al inicio de cada mes.</t>
        </r>
      </text>
    </comment>
    <comment ref="Q5" authorId="0" shapeId="0" xr:uid="{00000000-0006-0000-0400-000002000000}">
      <text>
        <r>
          <rPr>
            <sz val="11"/>
            <color theme="1"/>
            <rFont val="Calibri"/>
            <family val="2"/>
            <scheme val="minor"/>
          </rPr>
          <t>Vienen de la hoja «Objetivos». Cámbialos allí.</t>
        </r>
      </text>
    </comment>
    <comment ref="B7" authorId="0" shapeId="0" xr:uid="{00000000-0006-0000-0400-000003000000}">
      <text>
        <r>
          <rPr>
            <sz val="11"/>
            <color theme="1"/>
            <rFont val="Calibri"/>
            <family val="2"/>
            <scheme val="minor"/>
          </rPr>
          <t>Enero: los socios que escribes en «Datos del mes». Los demás meses: los socios con que acabó el mes anterior.</t>
        </r>
      </text>
    </comment>
    <comment ref="B10" authorId="0" shapeId="0" xr:uid="{00000000-0006-0000-0400-000004000000}">
      <text>
        <r>
          <rPr>
            <sz val="11"/>
            <color theme="1"/>
            <rFont val="Calibri"/>
            <family val="2"/>
            <scheme val="minor"/>
          </rPr>
          <t>Socios al inicio + altas − bajas.</t>
        </r>
      </text>
    </comment>
    <comment ref="B12" authorId="0" shapeId="0" xr:uid="{00000000-0006-0000-0400-000005000000}">
      <text>
        <r>
          <rPr>
            <sz val="11"/>
            <color theme="1"/>
            <rFont val="Calibri"/>
            <family val="2"/>
            <scheme val="minor"/>
          </rPr>
          <t>Bajas del mes ÷ socios al inicio del mes.</t>
        </r>
      </text>
    </comment>
    <comment ref="B13" authorId="0" shapeId="0" xr:uid="{00000000-0006-0000-0400-000006000000}">
      <text>
        <r>
          <rPr>
            <sz val="11"/>
            <color theme="1"/>
            <rFont val="Calibri"/>
            <family val="2"/>
            <scheme val="minor"/>
          </rPr>
          <t>1 − tasa de bajas.</t>
        </r>
      </text>
    </comment>
    <comment ref="B15" authorId="0" shapeId="0" xr:uid="{00000000-0006-0000-0400-000007000000}">
      <text>
        <r>
          <rPr>
            <sz val="11"/>
            <color theme="1"/>
            <rFont val="Calibri"/>
            <family val="2"/>
            <scheme val="minor"/>
          </rPr>
          <t>Suma de las cinco líneas de ingresos (sin IVA).</t>
        </r>
      </text>
    </comment>
    <comment ref="B16" authorId="0" shapeId="0" xr:uid="{00000000-0006-0000-0400-000008000000}">
      <text>
        <r>
          <rPr>
            <sz val="11"/>
            <color theme="1"/>
            <rFont val="Calibri"/>
            <family val="2"/>
            <scheme val="minor"/>
          </rPr>
          <t>Suma de las cinco líneas de gastos (sin IVA).</t>
        </r>
      </text>
    </comment>
    <comment ref="B17" authorId="0" shapeId="0" xr:uid="{00000000-0006-0000-0400-000009000000}">
      <text>
        <r>
          <rPr>
            <sz val="11"/>
            <color theme="1"/>
            <rFont val="Calibri"/>
            <family val="2"/>
            <scheme val="minor"/>
          </rPr>
          <t>Ingresos − gastos, antes de impuestos y amortizaciones.</t>
        </r>
      </text>
    </comment>
    <comment ref="B18" authorId="0" shapeId="0" xr:uid="{00000000-0006-0000-0400-00000A000000}">
      <text>
        <r>
          <rPr>
            <sz val="11"/>
            <color theme="1"/>
            <rFont val="Calibri"/>
            <family val="2"/>
            <scheme val="minor"/>
          </rPr>
          <t>Resultado operativo ÷ ingresos totales.</t>
        </r>
      </text>
    </comment>
    <comment ref="B19" authorId="0" shapeId="0" xr:uid="{00000000-0006-0000-0400-00000B000000}">
      <text>
        <r>
          <rPr>
            <sz val="11"/>
            <color theme="1"/>
            <rFont val="Calibri"/>
            <family val="2"/>
            <scheme val="minor"/>
          </rPr>
          <t>Gasto de personal ÷ ingresos totales.</t>
        </r>
      </text>
    </comment>
    <comment ref="B20" authorId="0" shapeId="0" xr:uid="{00000000-0006-0000-0400-00000C000000}">
      <text>
        <r>
          <rPr>
            <sz val="11"/>
            <color theme="1"/>
            <rFont val="Calibri"/>
            <family val="2"/>
            <scheme val="minor"/>
          </rPr>
          <t>Ingresos totales ÷ socios medios del mes, es decir, (socios al inicio + al final) ÷ 2.</t>
        </r>
      </text>
    </comment>
    <comment ref="B21" authorId="0" shapeId="0" xr:uid="{00000000-0006-0000-0400-00000D000000}">
      <text>
        <r>
          <rPr>
            <sz val="11"/>
            <color theme="1"/>
            <rFont val="Calibri"/>
            <family val="2"/>
            <scheme val="minor"/>
          </rPr>
          <t>Importe impagado o devuelto ÷ importe emitido.</t>
        </r>
      </text>
    </comment>
    <comment ref="B24" authorId="0" shapeId="0" xr:uid="{00000000-0006-0000-0400-00000E000000}">
      <text>
        <r>
          <rPr>
            <sz val="11"/>
            <color theme="1"/>
            <rFont val="Calibri"/>
            <family val="2"/>
            <scheme val="minor"/>
          </rPr>
          <t>Visitas o clases de prueba ÷ contactos nuevos.</t>
        </r>
      </text>
    </comment>
    <comment ref="B25" authorId="0" shapeId="0" xr:uid="{00000000-0006-0000-0400-00000F000000}">
      <text>
        <r>
          <rPr>
            <sz val="11"/>
            <color theme="1"/>
            <rFont val="Calibri"/>
            <family val="2"/>
            <scheme val="minor"/>
          </rPr>
          <t>Altas que vienen de una prueba ÷ visitas o clases de prueba.</t>
        </r>
      </text>
    </comment>
    <comment ref="B26" authorId="0" shapeId="0" xr:uid="{00000000-0006-0000-0400-000010000000}">
      <text>
        <r>
          <rPr>
            <sz val="11"/>
            <color theme="1"/>
            <rFont val="Calibri"/>
            <family val="2"/>
            <scheme val="minor"/>
          </rPr>
          <t>Altas que vienen de una prueba ÷ contactos nuevos: todo el embudo junto.</t>
        </r>
      </text>
    </comment>
    <comment ref="B27" authorId="0" shapeId="0" xr:uid="{00000000-0006-0000-0400-000011000000}">
      <text>
        <r>
          <rPr>
            <sz val="11"/>
            <color theme="1"/>
            <rFont val="Calibri"/>
            <family val="2"/>
            <scheme val="minor"/>
          </rPr>
          <t>La inversión en captación de «Datos del mes»; si está vacía, el gasto de marketing.</t>
        </r>
      </text>
    </comment>
    <comment ref="B28" authorId="0" shapeId="0" xr:uid="{00000000-0006-0000-0400-000012000000}">
      <text>
        <r>
          <rPr>
            <sz val="11"/>
            <color theme="1"/>
            <rFont val="Calibri"/>
            <family val="2"/>
            <scheme val="minor"/>
          </rPr>
          <t>Inversión en captación ÷ altas del mes.</t>
        </r>
      </text>
    </comment>
    <comment ref="B29" authorId="0" shapeId="0" xr:uid="{00000000-0006-0000-0400-000013000000}">
      <text>
        <r>
          <rPr>
            <sz val="11"/>
            <color theme="1"/>
            <rFont val="Calibri"/>
            <family val="2"/>
            <scheme val="minor"/>
          </rPr>
          <t>Ingreso medio por socio × margen operativo ÷ tasa de bajas. Con margen negativo cuenta como 0; sin bajas en el mes no se puede calcular. En un mes suelto varía mucho: mira también la columna «Año».</t>
        </r>
      </text>
    </comment>
    <comment ref="B30" authorId="0" shapeId="0" xr:uid="{00000000-0006-0000-0400-000014000000}">
      <text>
        <r>
          <rPr>
            <sz val="11"/>
            <color theme="1"/>
            <rFont val="Calibri"/>
            <family val="2"/>
            <scheme val="minor"/>
          </rPr>
          <t>Valor de vida del socio ÷ coste de captación por alta: cuántas veces recuperas lo que te cuesta conseguir un socio.</t>
        </r>
      </text>
    </comment>
    <comment ref="B32" authorId="0" shapeId="0" xr:uid="{00000000-0006-0000-0400-000015000000}">
      <text>
        <r>
          <rPr>
            <sz val="11"/>
            <color theme="1"/>
            <rFont val="Calibri"/>
            <family val="2"/>
            <scheme val="minor"/>
          </rPr>
          <t>Asistencias ÷ plazas ofertadas.</t>
        </r>
      </text>
    </comment>
    <comment ref="B33" authorId="0" shapeId="0" xr:uid="{00000000-0006-0000-0400-000016000000}">
      <text>
        <r>
          <rPr>
            <sz val="11"/>
            <color theme="1"/>
            <rFont val="Calibri"/>
            <family val="2"/>
            <scheme val="minor"/>
          </rPr>
          <t>Asistencias ÷ socios medios del mes: cuántas veces viene de media cada socio a clase.</t>
        </r>
      </text>
    </comment>
    <comment ref="B37" authorId="0" shapeId="0" xr:uid="{00000000-0006-0000-0400-000017000000}">
      <text>
        <r>
          <rPr>
            <sz val="11"/>
            <color theme="1"/>
            <rFont val="Calibri"/>
            <family val="2"/>
            <scheme val="minor"/>
          </rPr>
          <t>Un mes tiene datos cuando hay al menos un número en su columna de «Datos del mes».</t>
        </r>
      </text>
    </comment>
    <comment ref="B38" authorId="0" shapeId="0" xr:uid="{00000000-0006-0000-0400-000018000000}">
      <text>
        <r>
          <rPr>
            <sz val="11"/>
            <color theme="1"/>
            <rFont val="Calibri"/>
            <family val="2"/>
            <scheme val="minor"/>
          </rPr>
          <t>(Socios al inicio + socios al final) ÷ 2.</t>
        </r>
      </text>
    </comment>
    <comment ref="B39" authorId="0" shapeId="0" xr:uid="{00000000-0006-0000-0400-000019000000}">
      <text>
        <r>
          <rPr>
            <sz val="11"/>
            <color theme="1"/>
            <rFont val="Calibri"/>
            <family val="2"/>
            <scheme val="minor"/>
          </rPr>
          <t>En «Año», el último mes con datos.</t>
        </r>
      </text>
    </comment>
  </commentList>
</comments>
</file>

<file path=xl/sharedStrings.xml><?xml version="1.0" encoding="utf-8"?>
<sst xmlns="http://schemas.openxmlformats.org/spreadsheetml/2006/main" count="422" uniqueCount="300">
  <si>
    <t>Cuadro de mando mensual de tu gimnasio</t>
  </si>
  <si>
    <t>Quince minutos al mes para saber si tu centro va bien. Escribes unos pocos números y la hoja te devuelve los indicadores clave, con semáforos frente a tus propios objetivos, flechas frente al mes anterior y gráficos listos para imprimir.</t>
  </si>
  <si>
    <t>Cómo se usa</t>
  </si>
  <si>
    <r>
      <rPr>
        <b/>
        <sz val="10"/>
        <color rgb="FF0B1220"/>
        <rFont val="Arial"/>
        <family val="2"/>
      </rPr>
      <t xml:space="preserve">Pon tus objetivos. </t>
    </r>
    <r>
      <rPr>
        <sz val="10"/>
        <color rgb="FF4B586B"/>
        <rFont val="Arial"/>
        <family val="2"/>
      </rPr>
      <t>En «Objetivos» escribe el nombre de tu centro, el año y la meta de cada indicador. Si todavía no sabes qué poner, deja los del ejemplo y ajústalos cuando tengas unos meses de datos.</t>
    </r>
  </si>
  <si>
    <r>
      <rPr>
        <b/>
        <sz val="10"/>
        <color rgb="FF0B1220"/>
        <rFont val="Arial"/>
        <family val="2"/>
      </rPr>
      <t xml:space="preserve">Cierra el mes. </t>
    </r>
    <r>
      <rPr>
        <sz val="10"/>
        <color rgb="FF4B586B"/>
        <rFont val="Arial"/>
        <family val="2"/>
      </rPr>
      <t>En «Datos del mes» rellena la columna del mes que acaba: socios que entran y que se van, ingresos, gastos, captación, clases y cobros. En enero escribe también los socios con los que empiezas el año.</t>
    </r>
  </si>
  <si>
    <r>
      <rPr>
        <b/>
        <sz val="10"/>
        <color rgb="FF0B1220"/>
        <rFont val="Arial"/>
        <family val="2"/>
      </rPr>
      <t xml:space="preserve">Mira el panel. </t>
    </r>
    <r>
      <rPr>
        <sz val="10"/>
        <color rgb="FF4B586B"/>
        <rFont val="Arial"/>
        <family val="2"/>
      </rPr>
      <t>En «Panel» elige el mes en el desplegable o deja «Último mes con datos». Verás cada indicador con su semáforo, la flecha frente al mes anterior y los gráficos del año. Cabe en un A4 apaisado para imprimirlo o guardarlo en PDF.</t>
    </r>
  </si>
  <si>
    <r>
      <rPr>
        <b/>
        <sz val="10"/>
        <color rgb="FF0B1220"/>
        <rFont val="Arial"/>
        <family val="2"/>
      </rPr>
      <t xml:space="preserve">Si algo sale en coral, mira el detalle. </t>
    </r>
    <r>
      <rPr>
        <sz val="10"/>
        <color rgb="FF4B586B"/>
        <rFont val="Arial"/>
        <family val="2"/>
      </rPr>
      <t>«Indicadores» tiene todos los meses y el acumulado del año. «Glosario» explica qué es cada indicador, cómo se calcula y por qué importa.</t>
    </r>
  </si>
  <si>
    <t>Qué significa cada color</t>
  </si>
  <si>
    <t>Celda para rellenar. Escribe solo el número: el «€» y el «%» ya van en el formato.</t>
  </si>
  <si>
    <t>Se calcula sola. No hace falta tocarla.</t>
  </si>
  <si>
    <t>●</t>
  </si>
  <si>
    <t>En objetivo.</t>
  </si>
  <si>
    <t>Vigilar: no llega al objetivo, pero está dentro del margen que tú decides.</t>
  </si>
  <si>
    <t>Fuera de objetivo: se pasa del margen.</t>
  </si>
  <si>
    <t>Mes sin datos todavía.</t>
  </si>
  <si>
    <r>
      <rPr>
        <b/>
        <sz val="10"/>
        <color rgb="FF4B586B"/>
        <rFont val="Arial"/>
        <family val="2"/>
      </rPr>
      <t xml:space="preserve">Pestañas: </t>
    </r>
    <r>
      <rPr>
        <sz val="12"/>
        <color rgb="FF1DD6C1"/>
        <rFont val="Arial"/>
        <family val="2"/>
      </rPr>
      <t>■</t>
    </r>
    <r>
      <rPr>
        <sz val="10"/>
        <color rgb="FF4B586B"/>
        <rFont val="Arial"/>
        <family val="2"/>
      </rPr>
      <t xml:space="preserve"> verde agua, las que rellenas  </t>
    </r>
    <r>
      <rPr>
        <sz val="12"/>
        <color rgb="FF4A3CCF"/>
        <rFont val="Arial"/>
        <family val="2"/>
      </rPr>
      <t>■</t>
    </r>
    <r>
      <rPr>
        <sz val="10"/>
        <color rgb="FF4B586B"/>
        <rFont val="Arial"/>
        <family val="2"/>
      </rPr>
      <t xml:space="preserve"> violeta, resultados  </t>
    </r>
    <r>
      <rPr>
        <sz val="12"/>
        <color rgb="FF5C697D"/>
        <rFont val="Arial"/>
        <family val="2"/>
      </rPr>
      <t>■</t>
    </r>
    <r>
      <rPr>
        <sz val="10"/>
        <color rgb="FF4B586B"/>
        <rFont val="Arial"/>
        <family val="2"/>
      </rPr>
      <t xml:space="preserve"> gris, consulta.</t>
    </r>
  </si>
  <si>
    <t>Empezar con tus datos</t>
  </si>
  <si>
    <t>La hoja viene rellena con un ejemplo para que veas cómo queda: un box ficticio de unos 250 socios con datos de enero a octubre de 2026 (subida de altas en septiembre, bajón en verano y un mes, mayo, con muchas devoluciones de recibos).</t>
  </si>
  <si>
    <t>1.</t>
  </si>
  <si>
    <t>En «Datos del mes», selecciona las celdas de D10 a O34 y pulsa Suprimir. Ahí solo hay datos: las fórmulas están en otras hojas y no se borran.</t>
  </si>
  <si>
    <t>2.</t>
  </si>
  <si>
    <t>Cambia la celda D5 de «Datos del mes» por los socios activos que tenías el 1 de enero.</t>
  </si>
  <si>
    <t>3.</t>
  </si>
  <si>
    <t>En «Objetivos», escribe el nombre de tu centro, revisa el año y ajusta los objetivos.</t>
  </si>
  <si>
    <t>Para que los números cuadren</t>
  </si>
  <si>
    <t>—</t>
  </si>
  <si>
    <t>Todos los importes, sin IVA, como los ve tu gestoría.</t>
  </si>
  <si>
    <t>Un socio activo es el que tiene cuota en vigor ese mes. Los bonos sueltos no cuentan como socios.</t>
  </si>
  <si>
    <t>Usa cada mes el mismo criterio. Lo importante es compararte contigo mismo.</t>
  </si>
  <si>
    <t>Si algo es cero, escribe 0. Una celda vacía cuenta como dato que falta y la fila «Estado del mes» te avisa.</t>
  </si>
  <si>
    <t>Para un año nuevo, guarda una copia del archivo, vacía los datos y empieza en enero con los socios con que cerraste diciembre.</t>
  </si>
  <si>
    <r>
      <rPr>
        <sz val="10"/>
        <color rgb="FF4B586B"/>
        <rFont val="Arial"/>
        <family val="2"/>
      </rPr>
      <t xml:space="preserve">Más plantillas y calculadoras gratis en </t>
    </r>
    <r>
      <rPr>
        <b/>
        <u/>
        <sz val="10"/>
        <color rgb="FF076B69"/>
        <rFont val="Arial"/>
        <family val="2"/>
      </rPr>
      <t>gymgym.es/recursos</t>
    </r>
  </si>
  <si>
    <t>Plantilla gratuita de GymGym. Úsala, cámbiala y compártela con tu equipo.</t>
  </si>
  <si>
    <t>Objetivos</t>
  </si>
  <si>
    <t>Pon el nombre de tu centro, el año y la meta de cada indicador. El margen decide cuándo pasa de verde a ámbar y de ámbar a coral.</t>
  </si>
  <si>
    <t>Nombre del centro</t>
  </si>
  <si>
    <t>Centro de ejemplo</t>
  </si>
  <si>
    <t>Año</t>
  </si>
  <si>
    <t>Indicador</t>
  </si>
  <si>
    <t>Tipo</t>
  </si>
  <si>
    <t>Tu objetivo</t>
  </si>
  <si>
    <t>Margen para ámbar</t>
  </si>
  <si>
    <t>Verde si…</t>
  </si>
  <si>
    <t>Ámbar si…</t>
  </si>
  <si>
    <t>Coral si…</t>
  </si>
  <si>
    <t>Notas (por qué este objetivo)</t>
  </si>
  <si>
    <t>Tasa de bajas mensual (churn)</t>
  </si>
  <si>
    <t>Máximo</t>
  </si>
  <si>
    <t>En verano sube; el objetivo es nuestra media del resto del año.</t>
  </si>
  <si>
    <t>Conversión de pruebas a altas</t>
  </si>
  <si>
    <t>Mínimo</t>
  </si>
  <si>
    <t>Coste de captación por alta (CAC)</t>
  </si>
  <si>
    <t>Algo menos de una cuota y media.</t>
  </si>
  <si>
    <t>LTV:CAC</t>
  </si>
  <si>
    <t>Margen operativo</t>
  </si>
  <si>
    <t>Gasto de personal sobre ingresos</t>
  </si>
  <si>
    <t>Sube en septiembre: entra un entrenador nuevo.</t>
  </si>
  <si>
    <t>Impagado o devuelto</t>
  </si>
  <si>
    <t>Ocupación de clases</t>
  </si>
  <si>
    <r>
      <rPr>
        <b/>
        <sz val="9"/>
        <color rgb="FF4B586B"/>
        <rFont val="Arial"/>
        <family val="2"/>
      </rPr>
      <t xml:space="preserve">Los objetivos de ejemplo son orientativos, no medias del sector: </t>
    </r>
    <r>
      <rPr>
        <sz val="9"/>
        <color rgb="FF4B586B"/>
        <rFont val="Arial"/>
        <family val="2"/>
      </rPr>
      <t>cámbialos por los tuyos. Un buen punto de partida es tu propia media de los últimos meses, un poco mejorada. En «Glosario» tienes un valor orientativo para cada uno.</t>
    </r>
  </si>
  <si>
    <t>Cómo funciona el semáforo</t>
  </si>
  <si>
    <r>
      <rPr>
        <b/>
        <sz val="9.5"/>
        <color rgb="FF076B69"/>
        <rFont val="Arial"/>
        <family val="2"/>
      </rPr>
      <t xml:space="preserve">— </t>
    </r>
    <r>
      <rPr>
        <b/>
        <sz val="9.5"/>
        <color rgb="FF0B1220"/>
        <rFont val="Arial"/>
        <family val="2"/>
      </rPr>
      <t>Máximo</t>
    </r>
    <r>
      <rPr>
        <sz val="9.5"/>
        <color rgb="FF4B586B"/>
        <rFont val="Arial"/>
        <family val="2"/>
      </rPr>
      <t xml:space="preserve"> (bajas, coste por alta, personal, impagados): verde hasta tu objetivo; ámbar hasta el objetivo más el margen; coral por encima.</t>
    </r>
  </si>
  <si>
    <r>
      <rPr>
        <b/>
        <sz val="9.5"/>
        <color rgb="FF076B69"/>
        <rFont val="Arial"/>
        <family val="2"/>
      </rPr>
      <t xml:space="preserve">— </t>
    </r>
    <r>
      <rPr>
        <b/>
        <sz val="9.5"/>
        <color rgb="FF0B1220"/>
        <rFont val="Arial"/>
        <family val="2"/>
      </rPr>
      <t>Mínimo</t>
    </r>
    <r>
      <rPr>
        <sz val="9.5"/>
        <color rgb="FF4B586B"/>
        <rFont val="Arial"/>
        <family val="2"/>
      </rPr>
      <t xml:space="preserve"> (conversión, margen, LTV:CAC, ocupación): verde desde tu objetivo; ámbar hasta el objetivo menos el margen; coral por debajo.</t>
    </r>
  </si>
  <si>
    <r>
      <rPr>
        <b/>
        <sz val="9.5"/>
        <color rgb="FF076B69"/>
        <rFont val="Arial"/>
        <family val="2"/>
      </rPr>
      <t xml:space="preserve">— </t>
    </r>
    <r>
      <rPr>
        <b/>
        <sz val="9.5"/>
        <color rgb="FF0B1220"/>
        <rFont val="Arial"/>
        <family val="2"/>
      </rPr>
      <t>Margen en puntos</t>
    </r>
    <r>
      <rPr>
        <sz val="9.5"/>
        <color rgb="FF4B586B"/>
        <rFont val="Arial"/>
        <family val="2"/>
      </rPr>
      <t xml:space="preserve"> para los porcentajes: escribe 1,5 para 1,5 puntos. Con un objetivo de bajas del 4,0 % y un margen de 1,5, el ámbar va del 4,0 % al 5,5 %.</t>
    </r>
  </si>
  <si>
    <r>
      <rPr>
        <b/>
        <sz val="9.5"/>
        <color rgb="FF076B69"/>
        <rFont val="Arial"/>
        <family val="2"/>
      </rPr>
      <t xml:space="preserve">— </t>
    </r>
    <r>
      <rPr>
        <b/>
        <sz val="9.5"/>
        <color rgb="FF0B1220"/>
        <rFont val="Arial"/>
        <family val="2"/>
      </rPr>
      <t>Dónde se ve</t>
    </r>
    <r>
      <rPr>
        <sz val="9.5"/>
        <color rgb="FF4B586B"/>
        <rFont val="Arial"/>
        <family val="2"/>
      </rPr>
      <t>: los semáforos salen en «Panel» (el mes elegido) y en «Indicadores» (todos los meses y el año).</t>
    </r>
  </si>
  <si>
    <t>Datos del mes</t>
  </si>
  <si>
    <t>Al cerrar cada mes, rellena su columna (celdas verde agua). Importes sin IVA. Si algo es cero, escribe 0: una celda vacía cuenta como dato que falta.</t>
  </si>
  <si>
    <t>nº</t>
  </si>
  <si>
    <t>← solo una vez al año; cada mes empieza con los socios con que acabó el anterior.</t>
  </si>
  <si>
    <t>Concepto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</si>
  <si>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</si>
  <si>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</si>
  <si>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</si>
  <si>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</si>
  <si>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</si>
  <si>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</si>
  <si>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</si>
  <si>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</si>
  <si>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</si>
  <si>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</si>
  <si>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</si>
  <si>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</si>
  <si>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 año</t>
  </si>
  <si>
    <t>Estado del mes</t>
  </si>
  <si>
    <t>SOCIOS</t>
  </si>
  <si>
    <t>Altas del mes</t>
  </si>
  <si>
    <t>Bajas del mes</t>
  </si>
  <si>
    <t>INGRESOS (SIN IVA)</t>
  </si>
  <si>
    <t>Cuotas</t>
  </si>
  <si>
    <t>€</t>
  </si>
  <si>
    <t>Bonos y sesiones sueltas</t>
  </si>
  <si>
    <t>Entrenamiento personal</t>
  </si>
  <si>
    <t>Tienda</t>
  </si>
  <si>
    <t>Otros ingresos</t>
  </si>
  <si>
    <t>GASTOS (SIN IVA)</t>
  </si>
  <si>
    <t>Personal</t>
  </si>
  <si>
    <t>Alquiler</t>
  </si>
  <si>
    <t>Suministros</t>
  </si>
  <si>
    <t>Marketing y publicidad</t>
  </si>
  <si>
    <t>Otros gastos</t>
  </si>
  <si>
    <t>CAPTACIÓN</t>
  </si>
  <si>
    <t>Contactos nuevos (leads)</t>
  </si>
  <si>
    <t>Visitas o clases de prueba</t>
  </si>
  <si>
    <t>Altas que vienen de una prueba</t>
  </si>
  <si>
    <t>Inversión en captación (opcional)</t>
  </si>
  <si>
    <t>CLASES</t>
  </si>
  <si>
    <t>Plazas ofertadas</t>
  </si>
  <si>
    <t>Asistencias</t>
  </si>
  <si>
    <t>COBROS</t>
  </si>
  <si>
    <t>Importe emitido</t>
  </si>
  <si>
    <t>TOTALES PARA COMPROBAR CON TU GESTORÍA</t>
  </si>
  <si>
    <t>Total ingresos</t>
  </si>
  <si>
    <t>Total gastos</t>
  </si>
  <si>
    <t>Resultado (ingresos − gastos)</t>
  </si>
  <si>
    <t>Mes que ves</t>
  </si>
  <si>
    <t>Último mes con datos</t>
  </si>
  <si>
    <t>Cámbialo en el desplegable</t>
  </si>
  <si>
    <t>SOCIOS Y CAPTACIÓN</t>
  </si>
  <si>
    <t>Socios al final del mes</t>
  </si>
  <si>
    <t>Tasa de bajas (churn)</t>
  </si>
  <si>
    <t>Conversión prueba → alta</t>
  </si>
  <si>
    <t>Coste por alta (CAC)</t>
  </si>
  <si>
    <t>LTV:CAC (valor ÷ coste)</t>
  </si>
  <si>
    <t>DINERO Y OPERACIÓN</t>
  </si>
  <si>
    <t>Ingresos del mes</t>
  </si>
  <si>
    <t>Personal sobre ingresos</t>
  </si>
  <si>
    <t>EVOLUCIÓN DEL AÑO</t>
  </si>
  <si>
    <t>Socios al cierre de cada mes</t>
  </si>
  <si>
    <t>Altas y bajas</t>
  </si>
  <si>
    <t>Socios con cuota en vigor el último día del mes</t>
  </si>
  <si>
    <t>Socios que entran y que se van cada mes</t>
  </si>
  <si>
    <t>Bajas ÷ socios al inicio del mes, frente a tu objetivo</t>
  </si>
  <si>
    <t>DINERO Y CAPTACIÓN</t>
  </si>
  <si>
    <t>Ingresos y gastos</t>
  </si>
  <si>
    <t>Sin IVA, cada mes del año</t>
  </si>
  <si>
    <t>Contactos nuevos → pruebas → altas que vienen de una prueba</t>
  </si>
  <si>
    <t>Sin IVA · peso de cada línea sobre el total del mes</t>
  </si>
  <si>
    <r>
      <rPr>
        <sz val="10"/>
        <color rgb="FF0F6B47"/>
        <rFont val="Arial"/>
        <family val="2"/>
      </rPr>
      <t>■</t>
    </r>
    <r>
      <rPr>
        <sz val="8"/>
        <color rgb="FF4B586B"/>
        <rFont val="Arial"/>
        <family val="2"/>
      </rPr>
      <t xml:space="preserve"> En objetivo    </t>
    </r>
    <r>
      <rPr>
        <sz val="10"/>
        <color rgb="FF9A5B05"/>
        <rFont val="Arial"/>
        <family val="2"/>
      </rPr>
      <t>■</t>
    </r>
    <r>
      <rPr>
        <sz val="8"/>
        <color rgb="FF4B586B"/>
        <rFont val="Arial"/>
        <family val="2"/>
      </rPr>
      <t xml:space="preserve"> Vigilar (dentro de tu margen)    </t>
    </r>
    <r>
      <rPr>
        <sz val="10"/>
        <color rgb="FFC9284A"/>
        <rFont val="Arial"/>
        <family val="2"/>
      </rPr>
      <t>■</t>
    </r>
    <r>
      <rPr>
        <sz val="8"/>
        <color rgb="FF4B586B"/>
        <rFont val="Arial"/>
        <family val="2"/>
      </rPr>
      <t xml:space="preserve"> Fuera de objetivo    </t>
    </r>
    <r>
      <rPr>
        <b/>
        <sz val="8"/>
        <color rgb="FF4B586B"/>
        <rFont val="Arial"/>
        <family val="2"/>
      </rPr>
      <t>▲▼</t>
    </r>
    <r>
      <rPr>
        <sz val="8"/>
        <color rgb="FF5C697D"/>
        <rFont val="Arial"/>
        <family val="2"/>
      </rPr>
      <t xml:space="preserve"> frente al mes anterior, en verde si mejora y en coral si empeora.  Objetivos en «Objetivos» · cómo se calcula cada indicador en «Glosario».</t>
    </r>
  </si>
  <si>
    <t>Indicadores</t>
  </si>
  <si>
    <t>Todo se calcula con «Datos del mes». Cada mes se compara con tus objetivos; «Año» es el acumulado hasta el último mes con datos.</t>
  </si>
  <si>
    <t>Ámbar hasta</t>
  </si>
  <si>
    <t>Socios al inicio del mes</t>
  </si>
  <si>
    <t>Altas</t>
  </si>
  <si>
    <t>Bajas</t>
  </si>
  <si>
    <t>Crecimiento neto (altas − bajas)</t>
  </si>
  <si>
    <t>%</t>
  </si>
  <si>
    <t>Retención del mes</t>
  </si>
  <si>
    <t>DINERO</t>
  </si>
  <si>
    <t>Ingresos totales</t>
  </si>
  <si>
    <t>Gastos totales</t>
  </si>
  <si>
    <t>Resultado operativo</t>
  </si>
  <si>
    <t>Ingreso medio por socio (ARPU)</t>
  </si>
  <si>
    <t>Impagado o devuelto sobre lo emitido</t>
  </si>
  <si>
    <t>Contactos nuevos</t>
  </si>
  <si>
    <t>Conversión contacto → prueba</t>
  </si>
  <si>
    <t>Conversión contacto → alta</t>
  </si>
  <si>
    <t>Inversión en captación</t>
  </si>
  <si>
    <t>Valor de vida del socio (LTV)</t>
  </si>
  <si>
    <t>x</t>
  </si>
  <si>
    <t>Asistencias por socio</t>
  </si>
  <si>
    <t>CÁLCULOS AUXILIARES (NO HACE FALTA TOCARLOS)</t>
  </si>
  <si>
    <t>Nº de mes</t>
  </si>
  <si>
    <t>¿Mes con datos? (1 = sí)</t>
  </si>
  <si>
    <t>Socios medios del mes</t>
  </si>
  <si>
    <t>Nº de mes si tiene datos</t>
  </si>
  <si>
    <r>
      <rPr>
        <sz val="11"/>
        <color rgb="FF0F6B47"/>
        <rFont val="Arial"/>
        <family val="2"/>
      </rPr>
      <t>●</t>
    </r>
    <r>
      <rPr>
        <sz val="9"/>
        <color rgb="FF4B586B"/>
        <rFont val="Arial"/>
        <family val="2"/>
      </rPr>
      <t xml:space="preserve"> En objetivo     </t>
    </r>
    <r>
      <rPr>
        <sz val="11"/>
        <color rgb="FF9A5B05"/>
        <rFont val="Arial"/>
        <family val="2"/>
      </rPr>
      <t>●</t>
    </r>
    <r>
      <rPr>
        <sz val="9"/>
        <color rgb="FF4B586B"/>
        <rFont val="Arial"/>
        <family val="2"/>
      </rPr>
      <t xml:space="preserve"> Vigilar (dentro del margen)     </t>
    </r>
    <r>
      <rPr>
        <sz val="11"/>
        <color rgb="FFC9284A"/>
        <rFont val="Arial"/>
        <family val="2"/>
      </rPr>
      <t>●</t>
    </r>
    <r>
      <rPr>
        <sz val="9"/>
        <color rgb="FF4B586B"/>
        <rFont val="Arial"/>
        <family val="2"/>
      </rPr>
      <t xml:space="preserve"> Fuera de objetivo     </t>
    </r>
    <r>
      <rPr>
        <sz val="9"/>
        <color rgb="FF5C697D"/>
        <rFont val="Arial"/>
        <family val="2"/>
      </rPr>
      <t>Gris: mes sin datos todavía. Los objetivos y los márgenes se cambian en «Objetivos».</t>
    </r>
  </si>
  <si>
    <t>Glosario</t>
  </si>
  <si>
    <t>Qué es cada indicador, cómo se calcula y por qué importa. Los valores orientativos son un punto de partida, no medias del sector: cámbialos por los tuyos.</t>
  </si>
  <si>
    <t>Qué es</t>
  </si>
  <si>
    <t>Cómo se calcula</t>
  </si>
  <si>
    <t>Por qué importa</t>
  </si>
  <si>
    <t>Valor orientativo</t>
  </si>
  <si>
    <t>Los socios con cuota en vigor el último día del mes.</t>
  </si>
  <si>
    <t>Socios al inicio del mes + altas − bajas. Enero empieza con los socios que escribes en «Datos del mes»; cada mes siguiente, con los del final del anterior.</t>
  </si>
  <si>
    <t>Es el tamaño real de tu negocio: casi todos los demás indicadores dependen de él.</t>
  </si>
  <si>
    <t>Sin objetivo fijo: lo que importa es la tendencia. Compáralo con el mismo mes del año anterior.</t>
  </si>
  <si>
    <t>Crecimiento neto</t>
  </si>
  <si>
    <t>Cuántos socios ganas o pierdes en el mes.</t>
  </si>
  <si>
    <t>Altas − bajas.</t>
  </si>
  <si>
    <t>Puedes tener muchas altas y aun así perder socios si las bajas van por delante.</t>
  </si>
  <si>
    <t>Orientativo: positivo casi todos los meses, salvo en temporada baja.</t>
  </si>
  <si>
    <t>Qué parte de los socios con los que empiezas el mes se da de baja.</t>
  </si>
  <si>
    <t>Bajas del mes ÷ socios al inicio del mes. En «Año»: bajas del año ÷ suma de los socios al inicio de cada mes (media mensual).</t>
  </si>
  <si>
    <t>Es el indicador que más pesa en la rentabilidad: cada socio que se queda es una alta que no tienes que conseguir ni pagar.</t>
  </si>
  <si>
    <t>Orientativo para empezar (no es una media del sector): por debajo del 4 % mensual. En los meses de vacaciones es normal que suba; mira la tendencia.</t>
  </si>
  <si>
    <t>La otra cara de la tasa de bajas: qué parte de los socios sigue contigo.</t>
  </si>
  <si>
    <t>1 − tasa de bajas.</t>
  </si>
  <si>
    <t>Es más fácil de contar al equipo: «este mes hemos retenido al 96 %».</t>
  </si>
  <si>
    <t>Orientativo: el complemento de tu objetivo de bajas (96 % si tu objetivo es un 4 %).</t>
  </si>
  <si>
    <t>Lo que queda del mes después de pagar los gastos.</t>
  </si>
  <si>
    <t>Ingresos totales − gastos totales, sin IVA, antes de impuestos, cuotas de préstamos y amortizaciones.</t>
  </si>
  <si>
    <t>Es el dinero que genera el centro con su actividad. Si es negativo, ese mes te cuesta dinero.</t>
  </si>
  <si>
    <t>Sin objetivo fijo: se mira junto al margen operativo.</t>
  </si>
  <si>
    <t>Qué parte de lo que ingresas te queda después de pagar los gastos del mes.</t>
  </si>
  <si>
    <t>Resultado operativo ÷ ingresos totales.</t>
  </si>
  <si>
    <t>Ingresar más no sirve si los gastos crecen igual. El margen te dice si el centro se sostiene.</t>
  </si>
  <si>
    <t>Orientativo para empezar: un 15 % o más. Cámbialo por el tuyo.</t>
  </si>
  <si>
    <t>Qué parte de los ingresos se va en el equipo.</t>
  </si>
  <si>
    <t>Gasto de personal ÷ ingresos totales.</t>
  </si>
  <si>
    <t>Suele ser el gasto más grande. Si sube sin que suban los ingresos, el margen cae.</t>
  </si>
  <si>
    <t>Orientativo: por debajo del 40–45 %. Depende mucho de tu modelo (clases dirigidas, sala, entrenamiento personal…).</t>
  </si>
  <si>
    <t>Lo que ingresa de media cada socio al mes, contando todas las líneas de ingresos.</t>
  </si>
  <si>
    <t>Ingresos totales ÷ socios medios del mes, es decir, (socios al inicio + socios al final) ÷ 2.</t>
  </si>
  <si>
    <t>Te dice si vendes algo más que la cuota: entrenamiento personal, bonos, tienda…</t>
  </si>
  <si>
    <t>Sin objetivo fijo: compáralo con tu cuota media. Si está muy cerca, vives solo de cuotas.</t>
  </si>
  <si>
    <t>Qué parte de lo que tocaba cobrar no se ha cobrado.</t>
  </si>
  <si>
    <t>Importe impagado o devuelto ÷ importe emitido.</t>
  </si>
  <si>
    <t>Un impagado que no reclamas es una baja que todavía no ves. Un mes alto puede ser algo puntual; si se repite, es una fuga.</t>
  </si>
  <si>
    <t>Orientativo: por debajo del 3 %.</t>
  </si>
  <si>
    <t>De la gente que pregunta, cuántos vienen a probar.</t>
  </si>
  <si>
    <t>Visitas o clases de prueba ÷ contactos nuevos.</t>
  </si>
  <si>
    <t>Mide cómo atiendes el primer contacto: rapidez al responder, seguimiento y facilidad para reservar.</t>
  </si>
  <si>
    <t>Orientativo: un 40 % o más.</t>
  </si>
  <si>
    <t>De los que prueban, cuántos se apuntan.</t>
  </si>
  <si>
    <t>Altas que vienen de una prueba ÷ visitas o clases de prueba.</t>
  </si>
  <si>
    <t>Mide la primera experiencia y el cierre. Suele ser la forma más barata de crecer.</t>
  </si>
  <si>
    <t>Orientativo para empezar: un 40 % o más.</t>
  </si>
  <si>
    <t>Todo el embudo junto: de cada 100 contactos, cuántos acaban siendo socios.</t>
  </si>
  <si>
    <t>Altas que vienen de una prueba ÷ contactos nuevos.</t>
  </si>
  <si>
    <t>Te dice cuántos contactos necesitas para conseguir las altas que quieres.</t>
  </si>
  <si>
    <t>Sin objetivo propio: sale de multiplicar las dos conversiones anteriores.</t>
  </si>
  <si>
    <t>Lo que te cuesta conseguir cada socio nuevo.</t>
  </si>
  <si>
    <t>Inversión en captación ÷ altas del mes. Si no rellenas la inversión en captación, se usa el gasto de marketing y publicidad.</t>
  </si>
  <si>
    <t>Si sube mucho, estás pagando por contactos que no se convierten o por campañas que no funcionan.</t>
  </si>
  <si>
    <t>Orientativo: que lo recuperes con una o dos cuotas. Depende de tu precio.</t>
  </si>
  <si>
    <t>Lo que te deja un socio, de media, durante todo el tiempo que se queda.</t>
  </si>
  <si>
    <t>Ingreso medio por socio × margen operativo ÷ tasa de bajas (1 ÷ tasa de bajas son los meses que dura un socio de media). Con margen negativo cuenta como 0; sin bajas en el mes no se puede calcular.</t>
  </si>
  <si>
    <t>Te dice cuánto puedes invertir en conseguir y en cuidar a cada socio.</t>
  </si>
  <si>
    <t>Sin objetivo propio: se usa en LTV:CAC. Es una estimación y en un mes suelto varía mucho: mira la columna «Año».</t>
  </si>
  <si>
    <t>Cuántas veces recuperas lo que te cuesta conseguir un socio.</t>
  </si>
  <si>
    <t>Valor de vida del socio ÷ coste de captación por alta.</t>
  </si>
  <si>
    <t>Por debajo de 1, cada socio nuevo te cuesta más de lo que te deja.</t>
  </si>
  <si>
    <t>Orientativo: 3 o más.</t>
  </si>
  <si>
    <t>Qué parte de las plazas que ofreces se llena.</t>
  </si>
  <si>
    <t>Asistencias ÷ plazas ofertadas.</t>
  </si>
  <si>
    <t>Con poca ocupación tienes horarios que cuestan y no rinden; con mucha, socios que no encuentran plaza.</t>
  </si>
  <si>
    <t>Orientativo: entre el 65 % y el 85 %.</t>
  </si>
  <si>
    <t>Cuántas veces viene a clase, de media, cada socio en el mes.</t>
  </si>
  <si>
    <t>Asistencias ÷ socios medios del mes.</t>
  </si>
  <si>
    <t>Un socio que deja de venir suele ser una baja en camino: si este número cae, actúa antes de que suba la tasa de bajas.</t>
  </si>
  <si>
    <t>Sin objetivo fijo: compáralo con tus mejores meses.</t>
  </si>
  <si>
    <t>Cuando la hoja se queda corta</t>
  </si>
  <si>
    <t>Una nota final, por si un día te hace falta.</t>
  </si>
  <si>
    <t>Esta plantilla funciona con números que copias a mano una vez al mes, y para muchos centros es suficiente.</t>
  </si>
  <si>
    <t>Si llega un momento en que copiar y cuadrar datos te quita más tiempo del que te da, un software de gestión para gimnasios reúne socios, cobros, reservas, accesos y comunicación en un mismo sitio, y muchos de estos números ya los tienes sin tener que copiarlos.</t>
  </si>
  <si>
    <t>GymGym es uno de ellos. Si te apetece echarle un vistazo, tienes más información en gymgym.es.</t>
  </si>
  <si>
    <r>
      <rPr>
        <sz val="10"/>
        <color rgb="FF4B586B"/>
        <rFont val="Arial"/>
        <family val="2"/>
      </rPr>
      <t xml:space="preserve">Más plantillas y calculadoras gratis: </t>
    </r>
    <r>
      <rPr>
        <b/>
        <u/>
        <sz val="10"/>
        <color rgb="FF076B69"/>
        <rFont val="Arial"/>
        <family val="2"/>
      </rPr>
      <t>gymgym.es/recursos</t>
    </r>
  </si>
  <si>
    <t>Cálculos del panel</t>
  </si>
  <si>
    <t>Hoja de apoyo para los recuadros y gráficos de «Panel». No hace falta tocar nada aquí.</t>
  </si>
  <si>
    <t>Mes elegido en el panel</t>
  </si>
  <si>
    <t>Nº de mes que se enseña</t>
  </si>
  <si>
    <t>¿Ese mes tiene datos?</t>
  </si>
  <si>
    <t>Nombre del mes</t>
  </si>
  <si>
    <t>Nombre en minúscula</t>
  </si>
  <si>
    <t>Mes anterior (abreviado)</t>
  </si>
  <si>
    <t>Título del panel</t>
  </si>
  <si>
    <t>Subtítulo del panel</t>
  </si>
  <si>
    <t>Meses</t>
  </si>
  <si>
    <t>Abreviado</t>
  </si>
  <si>
    <t>Enero</t>
  </si>
  <si>
    <t>ene.</t>
  </si>
  <si>
    <t>Febrero</t>
  </si>
  <si>
    <t>feb.</t>
  </si>
  <si>
    <t>Marzo</t>
  </si>
  <si>
    <t>mar.</t>
  </si>
  <si>
    <t>Abril</t>
  </si>
  <si>
    <t>abr.</t>
  </si>
  <si>
    <t>Mayo</t>
  </si>
  <si>
    <t>may.</t>
  </si>
  <si>
    <t>Junio</t>
  </si>
  <si>
    <t>jun.</t>
  </si>
  <si>
    <t>Julio</t>
  </si>
  <si>
    <t>jul.</t>
  </si>
  <si>
    <t>Agosto</t>
  </si>
  <si>
    <t>ago.</t>
  </si>
  <si>
    <t>Septiembre</t>
  </si>
  <si>
    <t>sep.</t>
  </si>
  <si>
    <t>Octubre</t>
  </si>
  <si>
    <t>oct.</t>
  </si>
  <si>
    <t>Noviembre</t>
  </si>
  <si>
    <t>nov.</t>
  </si>
  <si>
    <t>Diciembre</t>
  </si>
  <si>
    <t>dic.</t>
  </si>
  <si>
    <t>Embudo del mes</t>
  </si>
  <si>
    <t>Valor</t>
  </si>
  <si>
    <t>Conversión</t>
  </si>
  <si>
    <t>Contactos</t>
  </si>
  <si>
    <t>Ingresos por línea del mes</t>
  </si>
  <si>
    <t>Importe</t>
  </si>
  <si>
    <t>Peso</t>
  </si>
  <si>
    <t>Total</t>
  </si>
  <si>
    <t>Objetivo de bajas (línea del gráfico)</t>
  </si>
  <si>
    <t>Recuadro</t>
  </si>
  <si>
    <t>Este mes</t>
  </si>
  <si>
    <t>Mes anterior</t>
  </si>
  <si>
    <t>Diferencia</t>
  </si>
  <si>
    <t>Semáforo</t>
  </si>
  <si>
    <t>Objetivo</t>
  </si>
  <si>
    <t>Extra 1</t>
  </si>
  <si>
    <t>Extra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</si>
</sst>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164" formatCode="0.0%"/>
    <numFmt numFmtId="165" formatCode="0.0&quot; pp&quot;"/>
    <numFmt numFmtId="166" formatCode="&quot;≤ &quot;0.0%"/>
    <numFmt numFmtId="167" formatCode="&quot;hasta &quot;0.0%"/>
    <numFmt numFmtId="168" formatCode="&quot;más de &quot;0.0%"/>
    <numFmt numFmtId="169" formatCode="&quot;≥ &quot;0.0%"/>
    <numFmt numFmtId="170" formatCode="&quot;desde &quot;0.0%"/>
    <numFmt numFmtId="171" formatCode="&quot;menos de &quot;0.0%"/>
    <numFmt numFmtId="172" formatCode="#,##0&quot; €&quot;"/>
    <numFmt numFmtId="173" formatCode="&quot;≤ &quot;#,##0&quot; €&quot;"/>
    <numFmt numFmtId="174" formatCode="&quot;hasta &quot;#,##0&quot; €&quot;"/>
    <numFmt numFmtId="175" formatCode="&quot;más de &quot;#,##0&quot; €&quot;"/>
    <numFmt numFmtId="176" formatCode="0.0&quot;x&quot;"/>
    <numFmt numFmtId="177" formatCode="&quot;≥ &quot;0.0&quot;x&quot;"/>
    <numFmt numFmtId="178" formatCode="&quot;desde &quot;0.0&quot;x&quot;"/>
    <numFmt numFmtId="179" formatCode="&quot;menos de &quot;0.0&quot;x&quot;"/>
    <numFmt numFmtId="180" formatCode="#,##0\ &quot;€&quot;"/>
    <numFmt numFmtId="181" formatCode="#,##0\ &quot;€&quot;;\-#,##0\ &quot;€&quot;;0\ &quot;€&quot;"/>
    <numFmt numFmtId="182" formatCode="\+#,##0;\-#,##0;0"/>
    <numFmt numFmtId="183" formatCode="#,##0.00\ &quot;€&quot;"/>
    <numFmt numFmtId="184" formatCode="0.0"/>
    <numFmt numFmtId="185" formatCode="#,##0.0"/>
    <numFmt numFmtId="186" formatCode="&quot;▲ &quot;#,##0;&quot;▼ &quot;#,##0;&quot;sin cambios&quot;"/>
    <numFmt numFmtId="187" formatCode="&quot;▲ &quot;0.0&quot; pp&quot;;&quot;▼ &quot;0.0&quot; pp&quot;;&quot;sin cambios&quot;"/>
    <numFmt numFmtId="188" formatCode="&quot;Obj. ≤ &quot;0.0%"/>
    <numFmt numFmtId="189" formatCode="&quot;Obj. ≥ &quot;0.0%"/>
    <numFmt numFmtId="190" formatCode="&quot;▲ &quot;#,##0&quot; €&quot;;&quot;▼ &quot;#,##0&quot; €&quot;;&quot;sin cambios&quot;"/>
    <numFmt numFmtId="191" formatCode="&quot;Obj. ≤ &quot;#,##0&quot; €&quot;"/>
    <numFmt numFmtId="192" formatCode="&quot;▲ &quot;0.0&quot;x&quot;;&quot;▼ &quot;0.0&quot;x&quot;;&quot;sin cambios&quot;"/>
    <numFmt numFmtId="193" formatCode="&quot;Obj. ≥ &quot;0.0&quot;x&quot;"/>
    <numFmt numFmtId="194" formatCode="&quot;▲ &quot;0.0%;&quot;▼ &quot;0.0%;&quot;sin cambios&quot;"/>
    <numFmt numFmtId="195" formatCode="&quot;Resultado &quot;#,##0&quot; €&quot;;&quot;Resultado -&quot;#,##0&quot; €&quot;;&quot;Resultado 0 €&quot;"/>
    <numFmt numFmtId="196" formatCode="#,##0&quot; €/socio&quot;"/>
  </numFmts>
  <fonts count="50" x14ac:knownFonts="1">
    <font>
      <sz val="11"/>
      <color theme="1"/>
      <name val="Calibri"/>
      <family val="2"/>
      <scheme val="minor"/>
    </font>
    <font>
      <b/>
      <sz val="16"/>
      <color rgb="FF0B1220"/>
      <name val="Arial"/>
      <family val="2"/>
    </font>
    <font>
      <sz val="10"/>
      <color rgb="FF4B586B"/>
      <name val="Arial"/>
      <family val="2"/>
    </font>
    <font>
      <b/>
      <sz val="10"/>
      <color rgb="FF4B586B"/>
      <name val="Arial"/>
      <family val="2"/>
    </font>
    <font>
      <b/>
      <sz val="11"/>
      <color rgb="FF0B1220"/>
      <name val="Arial"/>
      <family val="2"/>
    </font>
    <font>
      <b/>
      <sz val="9.5"/>
      <color rgb="FFFFFFFF"/>
      <name val="Arial"/>
      <family val="2"/>
    </font>
    <font>
      <b/>
      <sz val="10"/>
      <color rgb="FF0B1220"/>
      <name val="Arial"/>
      <family val="2"/>
    </font>
    <font>
      <sz val="10"/>
      <color rgb="FF0B1220"/>
      <name val="Arial"/>
      <family val="2"/>
    </font>
    <font>
      <b/>
      <sz val="10"/>
      <color rgb="FF0F6B47"/>
      <name val="Arial"/>
      <family val="2"/>
    </font>
    <font>
      <b/>
      <sz val="10"/>
      <color rgb="FF9A5B05"/>
      <name val="Arial"/>
      <family val="2"/>
    </font>
    <font>
      <b/>
      <sz val="10"/>
      <color rgb="FFC9284A"/>
      <name val="Arial"/>
      <family val="2"/>
    </font>
    <font>
      <sz val="9"/>
      <color rgb="FF4B586B"/>
      <name val="Arial"/>
      <family val="2"/>
    </font>
    <font>
      <sz val="9"/>
      <color rgb="FF5C697D"/>
      <name val="Arial"/>
      <family val="2"/>
    </font>
    <font>
      <b/>
      <sz val="9"/>
      <color rgb="FF4B586B"/>
      <name val="Arial"/>
      <family val="2"/>
    </font>
    <font>
      <b/>
      <sz val="8"/>
      <color rgb="FF5C697D"/>
      <name val="Arial"/>
      <family val="2"/>
    </font>
    <font>
      <b/>
      <sz val="8"/>
      <color rgb="FF4B586B"/>
      <name val="Arial"/>
      <family val="2"/>
    </font>
    <font>
      <b/>
      <sz val="8.5"/>
      <color rgb="FF076B69"/>
      <name val="Arial"/>
      <family val="2"/>
    </font>
    <font>
      <b/>
      <sz val="9"/>
      <color rgb="FFFFFFFF"/>
      <name val="Arial"/>
      <family val="2"/>
    </font>
    <font>
      <b/>
      <sz val="9.5"/>
      <color rgb="FF4A3CCF"/>
      <name val="Arial"/>
      <family val="2"/>
    </font>
    <font>
      <sz val="9.5"/>
      <color rgb="FF4A3CCF"/>
      <name val="Arial"/>
      <family val="2"/>
    </font>
    <font>
      <b/>
      <sz val="14"/>
      <color rgb="FF0B1220"/>
      <name val="Arial"/>
      <family val="2"/>
    </font>
    <font>
      <b/>
      <sz val="10"/>
      <color rgb="FFFFFFFF"/>
      <name val="Arial"/>
      <family val="2"/>
    </font>
    <font>
      <b/>
      <sz val="18"/>
      <color rgb="FF0B1220"/>
      <name val="Arial"/>
      <family val="2"/>
    </font>
    <font>
      <sz val="9.5"/>
      <color rgb="FF4B586B"/>
      <name val="Arial"/>
      <family val="2"/>
    </font>
    <font>
      <sz val="8"/>
      <color rgb="FF5C697D"/>
      <name val="Arial"/>
      <family val="2"/>
    </font>
    <font>
      <b/>
      <sz val="22"/>
      <color rgb="FF0B1220"/>
      <name val="Arial"/>
      <family val="2"/>
    </font>
    <font>
      <b/>
      <sz val="9"/>
      <color rgb="FF5C697D"/>
      <name val="Arial"/>
      <family val="2"/>
    </font>
    <font>
      <sz val="8.5"/>
      <color rgb="FF4B586B"/>
      <name val="Arial"/>
      <family val="2"/>
    </font>
    <font>
      <b/>
      <sz val="8.5"/>
      <color rgb="FF4B586B"/>
      <name val="Arial"/>
      <family val="2"/>
    </font>
    <font>
      <sz val="10.5"/>
      <color rgb="FF4B586B"/>
      <name val="Arial"/>
      <family val="2"/>
    </font>
    <font>
      <b/>
      <sz val="12"/>
      <color rgb="FF0B1220"/>
      <name val="Arial"/>
      <family val="2"/>
    </font>
    <font>
      <b/>
      <sz val="18"/>
      <color rgb="FF076B69"/>
      <name val="Arial"/>
      <family val="2"/>
    </font>
    <font>
      <b/>
      <sz val="10"/>
      <color rgb="FF5C697D"/>
      <name val="Arial"/>
      <family val="2"/>
    </font>
    <font>
      <b/>
      <sz val="10"/>
      <color rgb="FF076B69"/>
      <name val="Arial"/>
      <family val="2"/>
    </font>
    <font>
      <sz val="8.5"/>
      <color rgb="FF5C697D"/>
      <name val="Arial"/>
      <family val="2"/>
    </font>
    <font>
      <b/>
      <sz val="9"/>
      <color rgb="FF0B1220"/>
      <name val="Arial"/>
      <family val="2"/>
    </font>
    <font>
      <sz val="9"/>
      <color rgb="FF076B69"/>
      <name val="Arial"/>
      <family val="2"/>
    </font>
    <font>
      <sz val="12"/>
      <color rgb="FF1DD6C1"/>
      <name val="Arial"/>
      <family val="2"/>
    </font>
    <font>
      <sz val="12"/>
      <color rgb="FF4A3CCF"/>
      <name val="Arial"/>
      <family val="2"/>
    </font>
    <font>
      <sz val="12"/>
      <color rgb="FF5C697D"/>
      <name val="Arial"/>
      <family val="2"/>
    </font>
    <font>
      <b/>
      <u/>
      <sz val="10"/>
      <color rgb="FF076B69"/>
      <name val="Arial"/>
      <family val="2"/>
    </font>
    <font>
      <b/>
      <sz val="9.5"/>
      <color rgb="FF076B69"/>
      <name val="Arial"/>
      <family val="2"/>
    </font>
    <font>
      <b/>
      <sz val="9.5"/>
      <color rgb="FF0B1220"/>
      <name val="Arial"/>
      <family val="2"/>
    </font>
    <font>
      <sz val="10"/>
      <color rgb="FF0F6B47"/>
      <name val="Arial"/>
      <family val="2"/>
    </font>
    <font>
      <sz val="8"/>
      <color rgb="FF4B586B"/>
      <name val="Arial"/>
      <family val="2"/>
    </font>
    <font>
      <sz val="10"/>
      <color rgb="FF9A5B05"/>
      <name val="Arial"/>
      <family val="2"/>
    </font>
    <font>
      <sz val="10"/>
      <color rgb="FFC9284A"/>
      <name val="Arial"/>
      <family val="2"/>
    </font>
    <font>
      <sz val="11"/>
      <color rgb="FF0F6B47"/>
      <name val="Arial"/>
      <family val="2"/>
    </font>
    <font>
      <sz val="11"/>
      <color rgb="FF9A5B05"/>
      <name val="Arial"/>
      <family val="2"/>
    </font>
    <font>
      <sz val="11"/>
      <color rgb="FFC9284A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1DD6C1"/>
        <bgColor rgb="FF1DD6C1"/>
      </patternFill>
    </fill>
    <fill>
      <patternFill patternType="solid">
        <fgColor rgb="FFE4FAF6"/>
        <bgColor rgb="FFE4FAF6"/>
      </patternFill>
    </fill>
    <fill>
      <patternFill patternType="solid">
        <fgColor rgb="FF0A0E15"/>
        <bgColor rgb="FF0A0E15"/>
      </patternFill>
    </fill>
    <fill>
      <patternFill patternType="solid">
        <fgColor rgb="FFE2F7EC"/>
        <bgColor rgb="FFE2F7EC"/>
      </patternFill>
    </fill>
    <fill>
      <patternFill patternType="solid">
        <fgColor rgb="FFFFF1D8"/>
        <bgColor rgb="FFFFF1D8"/>
      </patternFill>
    </fill>
    <fill>
      <patternFill patternType="solid">
        <fgColor rgb="FFFFE8ED"/>
        <bgColor rgb="FFFFE8ED"/>
      </patternFill>
    </fill>
    <fill>
      <patternFill patternType="solid">
        <fgColor rgb="FFF6F8FB"/>
        <bgColor rgb="FFF6F8FB"/>
      </patternFill>
    </fill>
    <fill>
      <patternFill patternType="solid">
        <fgColor rgb="FF4A3CCF"/>
        <bgColor rgb="FF4A3CCF"/>
      </patternFill>
    </fill>
    <fill>
      <patternFill patternType="solid">
        <fgColor rgb="FFF0F3F8"/>
        <bgColor rgb="FFF0F3F8"/>
      </patternFill>
    </fill>
    <fill>
      <patternFill patternType="solid">
        <fgColor rgb="FFECEBFF"/>
        <bgColor rgb="FFECEBFF"/>
      </patternFill>
    </fill>
    <fill>
      <patternFill patternType="solid">
        <fgColor rgb="FFFFFFFF"/>
        <bgColor rgb="FFFFFFFF"/>
      </patternFill>
    </fill>
    <fill>
      <patternFill patternType="solid">
        <fgColor rgb="FFE3E9F0"/>
        <bgColor rgb="FFE3E9F0"/>
      </patternFill>
    </fill>
    <fill>
      <patternFill patternType="solid">
        <fgColor rgb="FFEEF2F7"/>
        <bgColor rgb="FFEEF2F7"/>
      </patternFill>
    </fill>
  </fills>
  <borders count="15">
    <border>
      <left/>
      <right/>
      <top/>
      <bottom/>
      <diagonal/>
    </border>
    <border>
      <left style="thin">
        <color rgb="FFE3E9F0"/>
      </left>
      <right style="thin">
        <color rgb="FFE3E9F0"/>
      </right>
      <top style="thin">
        <color rgb="FFE3E9F0"/>
      </top>
      <bottom style="thin">
        <color rgb="FFE3E9F0"/>
      </bottom>
      <diagonal/>
    </border>
    <border>
      <left/>
      <right/>
      <top/>
      <bottom style="thin">
        <color rgb="FFE3E9F0"/>
      </bottom>
      <diagonal/>
    </border>
    <border>
      <left style="thin">
        <color rgb="FF1DD6C1"/>
      </left>
      <right/>
      <top style="thin">
        <color rgb="FF1DD6C1"/>
      </top>
      <bottom style="thin">
        <color rgb="FF1DD6C1"/>
      </bottom>
      <diagonal/>
    </border>
    <border>
      <left/>
      <right/>
      <top style="thin">
        <color rgb="FF1DD6C1"/>
      </top>
      <bottom style="thin">
        <color rgb="FF1DD6C1"/>
      </bottom>
      <diagonal/>
    </border>
    <border>
      <left/>
      <right style="thin">
        <color rgb="FF1DD6C1"/>
      </right>
      <top style="thin">
        <color rgb="FF1DD6C1"/>
      </top>
      <bottom style="thin">
        <color rgb="FF1DD6C1"/>
      </bottom>
      <diagonal/>
    </border>
    <border>
      <left style="thin">
        <color rgb="FFE3E9F0"/>
      </left>
      <right/>
      <top style="thin">
        <color rgb="FFE3E9F0"/>
      </top>
      <bottom/>
      <diagonal/>
    </border>
    <border>
      <left/>
      <right/>
      <top style="thin">
        <color rgb="FFE3E9F0"/>
      </top>
      <bottom/>
      <diagonal/>
    </border>
    <border>
      <left/>
      <right style="thin">
        <color rgb="FFE3E9F0"/>
      </right>
      <top style="thin">
        <color rgb="FFE3E9F0"/>
      </top>
      <bottom/>
      <diagonal/>
    </border>
    <border>
      <left style="thin">
        <color rgb="FFE3E9F0"/>
      </left>
      <right/>
      <top/>
      <bottom/>
      <diagonal/>
    </border>
    <border>
      <left/>
      <right/>
      <top/>
      <bottom/>
      <diagonal/>
    </border>
    <border>
      <left/>
      <right style="thin">
        <color rgb="FFE3E9F0"/>
      </right>
      <top/>
      <bottom/>
      <diagonal/>
    </border>
    <border>
      <left style="thin">
        <color rgb="FFE3E9F0"/>
      </left>
      <right/>
      <top/>
      <bottom style="thin">
        <color rgb="FFE3E9F0"/>
      </bottom>
      <diagonal/>
    </border>
    <border>
      <left/>
      <right/>
      <top/>
      <bottom style="thin">
        <color rgb="FFE3E9F0"/>
      </bottom>
      <diagonal/>
    </border>
    <border>
      <left/>
      <right style="thin">
        <color rgb="FFE3E9F0"/>
      </right>
      <top/>
      <bottom style="thin">
        <color rgb="FFE3E9F0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25" fillId="0" borderId="0" xfId="0" applyFont="1"/>
    <xf numFmtId="0" fontId="29" fillId="0" borderId="0" xfId="0" applyFont="1" applyAlignment="1">
      <alignment vertical="top" wrapText="1"/>
    </xf>
    <xf numFmtId="0" fontId="0" fillId="2" borderId="0" xfId="0" applyFill="1"/>
    <xf numFmtId="0" fontId="30" fillId="0" borderId="0" xfId="0" applyFont="1"/>
    <xf numFmtId="0" fontId="31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12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32" fillId="8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0" fillId="13" borderId="0" xfId="0" applyFill="1"/>
    <xf numFmtId="0" fontId="34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 indent="1"/>
    </xf>
    <xf numFmtId="0" fontId="5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vertical="center" indent="1"/>
    </xf>
    <xf numFmtId="0" fontId="2" fillId="0" borderId="1" xfId="0" applyFont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166" fontId="8" fillId="5" borderId="1" xfId="0" applyNumberFormat="1" applyFont="1" applyFill="1" applyBorder="1" applyAlignment="1">
      <alignment horizontal="center" vertical="center"/>
    </xf>
    <xf numFmtId="167" fontId="9" fillId="6" borderId="1" xfId="0" applyNumberFormat="1" applyFont="1" applyFill="1" applyBorder="1" applyAlignment="1">
      <alignment horizontal="center" vertical="center"/>
    </xf>
    <xf numFmtId="168" fontId="10" fillId="7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 wrapText="1" indent="1"/>
    </xf>
    <xf numFmtId="169" fontId="8" fillId="5" borderId="1" xfId="0" applyNumberFormat="1" applyFont="1" applyFill="1" applyBorder="1" applyAlignment="1">
      <alignment horizontal="center" vertical="center"/>
    </xf>
    <xf numFmtId="170" fontId="9" fillId="6" borderId="1" xfId="0" applyNumberFormat="1" applyFont="1" applyFill="1" applyBorder="1" applyAlignment="1">
      <alignment horizontal="center" vertical="center"/>
    </xf>
    <xf numFmtId="171" fontId="10" fillId="7" borderId="1" xfId="0" applyNumberFormat="1" applyFont="1" applyFill="1" applyBorder="1" applyAlignment="1">
      <alignment horizontal="center" vertical="center"/>
    </xf>
    <xf numFmtId="172" fontId="6" fillId="3" borderId="1" xfId="0" applyNumberFormat="1" applyFont="1" applyFill="1" applyBorder="1" applyAlignment="1">
      <alignment horizontal="center" vertical="center"/>
    </xf>
    <xf numFmtId="172" fontId="7" fillId="3" borderId="1" xfId="0" applyNumberFormat="1" applyFont="1" applyFill="1" applyBorder="1" applyAlignment="1">
      <alignment horizontal="center" vertical="center"/>
    </xf>
    <xf numFmtId="173" fontId="8" fillId="5" borderId="1" xfId="0" applyNumberFormat="1" applyFont="1" applyFill="1" applyBorder="1" applyAlignment="1">
      <alignment horizontal="center" vertical="center"/>
    </xf>
    <xf numFmtId="174" fontId="9" fillId="6" borderId="1" xfId="0" applyNumberFormat="1" applyFont="1" applyFill="1" applyBorder="1" applyAlignment="1">
      <alignment horizontal="center" vertical="center"/>
    </xf>
    <xf numFmtId="175" fontId="10" fillId="7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/>
    </xf>
    <xf numFmtId="177" fontId="8" fillId="5" borderId="1" xfId="0" applyNumberFormat="1" applyFont="1" applyFill="1" applyBorder="1" applyAlignment="1">
      <alignment horizontal="center" vertical="center"/>
    </xf>
    <xf numFmtId="178" fontId="9" fillId="6" borderId="1" xfId="0" applyNumberFormat="1" applyFont="1" applyFill="1" applyBorder="1" applyAlignment="1">
      <alignment horizontal="center" vertical="center"/>
    </xf>
    <xf numFmtId="179" fontId="10" fillId="7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7" fillId="0" borderId="0" xfId="0" applyFont="1" applyAlignment="1">
      <alignment vertical="center" indent="1"/>
    </xf>
    <xf numFmtId="0" fontId="6" fillId="0" borderId="0" xfId="0" applyFont="1" applyAlignment="1">
      <alignment vertical="center" indent="1"/>
    </xf>
    <xf numFmtId="0" fontId="12" fillId="0" borderId="0" xfId="0" applyFont="1" applyAlignment="1">
      <alignment horizontal="center" vertical="center"/>
    </xf>
    <xf numFmtId="3" fontId="6" fillId="3" borderId="1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 indent="1"/>
    </xf>
    <xf numFmtId="0" fontId="5" fillId="4" borderId="0" xfId="0" applyFont="1" applyFill="1" applyAlignment="1">
      <alignment vertical="center" indent="1"/>
    </xf>
    <xf numFmtId="0" fontId="7" fillId="4" borderId="0" xfId="0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13" fillId="0" borderId="2" xfId="0" applyFont="1" applyBorder="1" applyAlignment="1">
      <alignment vertical="center" indent="1"/>
    </xf>
    <xf numFmtId="0" fontId="7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8" borderId="0" xfId="0" applyFont="1" applyFill="1" applyAlignment="1">
      <alignment indent="1"/>
    </xf>
    <xf numFmtId="0" fontId="0" fillId="8" borderId="0" xfId="0" applyFill="1"/>
    <xf numFmtId="0" fontId="7" fillId="0" borderId="2" xfId="0" applyFont="1" applyBorder="1" applyAlignment="1">
      <alignment vertical="center" indent="2"/>
    </xf>
    <xf numFmtId="0" fontId="12" fillId="0" borderId="2" xfId="0" applyFont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180" fontId="7" fillId="3" borderId="1" xfId="0" applyNumberFormat="1" applyFont="1" applyFill="1" applyBorder="1" applyAlignment="1">
      <alignment horizontal="right" vertical="center"/>
    </xf>
    <xf numFmtId="180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 indent="2"/>
    </xf>
    <xf numFmtId="180" fontId="7" fillId="0" borderId="2" xfId="0" applyNumberFormat="1" applyFont="1" applyBorder="1" applyAlignment="1">
      <alignment horizontal="right" vertical="center"/>
    </xf>
    <xf numFmtId="181" fontId="6" fillId="0" borderId="2" xfId="0" applyNumberFormat="1" applyFont="1" applyBorder="1" applyAlignment="1">
      <alignment horizontal="right" vertical="center"/>
    </xf>
    <xf numFmtId="0" fontId="0" fillId="12" borderId="12" xfId="0" applyFill="1" applyBorder="1"/>
    <xf numFmtId="0" fontId="0" fillId="12" borderId="13" xfId="0" applyFill="1" applyBorder="1"/>
    <xf numFmtId="0" fontId="0" fillId="12" borderId="14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2" borderId="11" xfId="0" applyFill="1" applyBorder="1"/>
    <xf numFmtId="0" fontId="17" fillId="9" borderId="0" xfId="0" applyFont="1" applyFill="1" applyAlignment="1">
      <alignment horizontal="center" vertical="center" wrapText="1"/>
    </xf>
    <xf numFmtId="3" fontId="7" fillId="0" borderId="2" xfId="0" applyNumberFormat="1" applyFont="1" applyBorder="1" applyAlignment="1">
      <alignment horizontal="right" vertical="center"/>
    </xf>
    <xf numFmtId="3" fontId="6" fillId="10" borderId="2" xfId="0" applyNumberFormat="1" applyFont="1" applyFill="1" applyBorder="1" applyAlignment="1">
      <alignment horizontal="right" vertical="center"/>
    </xf>
    <xf numFmtId="182" fontId="7" fillId="0" borderId="2" xfId="0" applyNumberFormat="1" applyFont="1" applyBorder="1" applyAlignment="1">
      <alignment horizontal="right" vertical="center"/>
    </xf>
    <xf numFmtId="182" fontId="6" fillId="10" borderId="2" xfId="0" applyNumberFormat="1" applyFont="1" applyFill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4" fontId="6" fillId="10" borderId="2" xfId="0" applyNumberFormat="1" applyFont="1" applyFill="1" applyBorder="1" applyAlignment="1">
      <alignment horizontal="right" vertical="center"/>
    </xf>
    <xf numFmtId="166" fontId="18" fillId="11" borderId="2" xfId="0" applyNumberFormat="1" applyFont="1" applyFill="1" applyBorder="1" applyAlignment="1">
      <alignment horizontal="center" vertical="center"/>
    </xf>
    <xf numFmtId="164" fontId="19" fillId="11" borderId="2" xfId="0" applyNumberFormat="1" applyFont="1" applyFill="1" applyBorder="1" applyAlignment="1">
      <alignment horizontal="center" vertical="center"/>
    </xf>
    <xf numFmtId="180" fontId="6" fillId="10" borderId="2" xfId="0" applyNumberFormat="1" applyFont="1" applyFill="1" applyBorder="1" applyAlignment="1">
      <alignment horizontal="right" vertical="center"/>
    </xf>
    <xf numFmtId="181" fontId="7" fillId="0" borderId="2" xfId="0" applyNumberFormat="1" applyFont="1" applyBorder="1" applyAlignment="1">
      <alignment horizontal="right" vertical="center"/>
    </xf>
    <xf numFmtId="181" fontId="6" fillId="10" borderId="2" xfId="0" applyNumberFormat="1" applyFont="1" applyFill="1" applyBorder="1" applyAlignment="1">
      <alignment horizontal="right" vertical="center"/>
    </xf>
    <xf numFmtId="169" fontId="18" fillId="11" borderId="2" xfId="0" applyNumberFormat="1" applyFont="1" applyFill="1" applyBorder="1" applyAlignment="1">
      <alignment horizontal="center" vertical="center"/>
    </xf>
    <xf numFmtId="183" fontId="7" fillId="0" borderId="2" xfId="0" applyNumberFormat="1" applyFont="1" applyBorder="1" applyAlignment="1">
      <alignment horizontal="right" vertical="center"/>
    </xf>
    <xf numFmtId="183" fontId="6" fillId="10" borderId="2" xfId="0" applyNumberFormat="1" applyFont="1" applyFill="1" applyBorder="1" applyAlignment="1">
      <alignment horizontal="right" vertical="center"/>
    </xf>
    <xf numFmtId="173" fontId="18" fillId="11" borderId="2" xfId="0" applyNumberFormat="1" applyFont="1" applyFill="1" applyBorder="1" applyAlignment="1">
      <alignment horizontal="center" vertical="center"/>
    </xf>
    <xf numFmtId="172" fontId="19" fillId="11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Border="1" applyAlignment="1">
      <alignment horizontal="right" vertical="center"/>
    </xf>
    <xf numFmtId="176" fontId="6" fillId="10" borderId="2" xfId="0" applyNumberFormat="1" applyFont="1" applyFill="1" applyBorder="1" applyAlignment="1">
      <alignment horizontal="right" vertical="center"/>
    </xf>
    <xf numFmtId="177" fontId="18" fillId="11" borderId="2" xfId="0" applyNumberFormat="1" applyFont="1" applyFill="1" applyBorder="1" applyAlignment="1">
      <alignment horizontal="center" vertical="center"/>
    </xf>
    <xf numFmtId="176" fontId="19" fillId="11" borderId="2" xfId="0" applyNumberFormat="1" applyFont="1" applyFill="1" applyBorder="1" applyAlignment="1">
      <alignment horizontal="center" vertical="center"/>
    </xf>
    <xf numFmtId="184" fontId="7" fillId="0" borderId="2" xfId="0" applyNumberFormat="1" applyFont="1" applyBorder="1" applyAlignment="1">
      <alignment horizontal="right" vertical="center"/>
    </xf>
    <xf numFmtId="184" fontId="6" fillId="10" borderId="2" xfId="0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vertical="center" indent="2"/>
    </xf>
    <xf numFmtId="1" fontId="12" fillId="0" borderId="2" xfId="0" applyNumberFormat="1" applyFont="1" applyBorder="1" applyAlignment="1">
      <alignment horizontal="right" vertical="center"/>
    </xf>
    <xf numFmtId="185" fontId="12" fillId="0" borderId="2" xfId="0" applyNumberFormat="1" applyFont="1" applyBorder="1" applyAlignment="1">
      <alignment horizontal="right" vertical="center"/>
    </xf>
    <xf numFmtId="0" fontId="35" fillId="0" borderId="2" xfId="0" applyFont="1" applyBorder="1" applyAlignment="1">
      <alignment vertical="top" wrapText="1" indent="1"/>
    </xf>
    <xf numFmtId="0" fontId="11" fillId="0" borderId="2" xfId="0" applyFont="1" applyBorder="1" applyAlignment="1">
      <alignment vertical="top" wrapText="1"/>
    </xf>
    <xf numFmtId="0" fontId="36" fillId="0" borderId="2" xfId="0" applyFont="1" applyBorder="1" applyAlignment="1">
      <alignment vertical="top" wrapText="1"/>
    </xf>
    <xf numFmtId="0" fontId="2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1" fillId="4" borderId="0" xfId="0" applyFont="1" applyFill="1" applyAlignment="1">
      <alignment vertical="center" indent="1"/>
    </xf>
    <xf numFmtId="0" fontId="21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80" fontId="7" fillId="0" borderId="0" xfId="0" applyNumberFormat="1" applyFont="1" applyAlignment="1">
      <alignment vertical="center"/>
    </xf>
    <xf numFmtId="180" fontId="6" fillId="0" borderId="0" xfId="0" applyNumberFormat="1" applyFont="1" applyAlignment="1">
      <alignment vertical="center"/>
    </xf>
    <xf numFmtId="186" fontId="7" fillId="0" borderId="0" xfId="0" applyNumberFormat="1" applyFont="1" applyAlignment="1">
      <alignment vertical="center"/>
    </xf>
    <xf numFmtId="187" fontId="7" fillId="0" borderId="0" xfId="0" applyNumberFormat="1" applyFont="1" applyAlignment="1">
      <alignment vertical="center"/>
    </xf>
    <xf numFmtId="188" fontId="7" fillId="0" borderId="0" xfId="0" applyNumberFormat="1" applyFont="1" applyAlignment="1">
      <alignment vertical="center"/>
    </xf>
    <xf numFmtId="189" fontId="7" fillId="0" borderId="0" xfId="0" applyNumberFormat="1" applyFont="1" applyAlignment="1">
      <alignment vertical="center"/>
    </xf>
    <xf numFmtId="190" fontId="7" fillId="0" borderId="0" xfId="0" applyNumberFormat="1" applyFont="1" applyAlignment="1">
      <alignment vertical="center"/>
    </xf>
    <xf numFmtId="191" fontId="7" fillId="0" borderId="0" xfId="0" applyNumberFormat="1" applyFont="1" applyAlignment="1">
      <alignment vertical="center"/>
    </xf>
    <xf numFmtId="172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92" fontId="7" fillId="0" borderId="0" xfId="0" applyNumberFormat="1" applyFont="1" applyAlignment="1">
      <alignment vertical="center"/>
    </xf>
    <xf numFmtId="193" fontId="7" fillId="0" borderId="0" xfId="0" applyNumberFormat="1" applyFont="1" applyAlignment="1">
      <alignment vertical="center"/>
    </xf>
    <xf numFmtId="194" fontId="7" fillId="0" borderId="0" xfId="0" applyNumberFormat="1" applyFont="1" applyAlignment="1">
      <alignment vertical="center"/>
    </xf>
    <xf numFmtId="183" fontId="7" fillId="0" borderId="0" xfId="0" applyNumberFormat="1" applyFont="1" applyAlignment="1">
      <alignment vertical="center"/>
    </xf>
    <xf numFmtId="0" fontId="29" fillId="0" borderId="0" xfId="0" applyFont="1" applyAlignment="1">
      <alignment vertical="top" wrapText="1"/>
    </xf>
    <xf numFmtId="0" fontId="0" fillId="0" borderId="0" xfId="0"/>
    <xf numFmtId="0" fontId="4" fillId="3" borderId="1" xfId="0" applyFont="1" applyFill="1" applyBorder="1" applyAlignment="1">
      <alignment horizontal="left" vertical="center" indent="1"/>
    </xf>
    <xf numFmtId="0" fontId="0" fillId="3" borderId="1" xfId="0" applyFill="1" applyBorder="1"/>
    <xf numFmtId="0" fontId="7" fillId="0" borderId="0" xfId="0" applyFont="1" applyAlignment="1">
      <alignment vertical="center" indent="1"/>
    </xf>
    <xf numFmtId="0" fontId="7" fillId="0" borderId="0" xfId="0" applyFont="1" applyAlignment="1">
      <alignment vertical="top" wrapText="1" indent="1"/>
    </xf>
    <xf numFmtId="1" fontId="4" fillId="3" borderId="1" xfId="0" applyNumberFormat="1" applyFont="1" applyFill="1" applyBorder="1" applyAlignment="1">
      <alignment horizontal="left" vertical="center" indent="1"/>
    </xf>
    <xf numFmtId="0" fontId="16" fillId="8" borderId="0" xfId="0" applyFont="1" applyFill="1"/>
    <xf numFmtId="0" fontId="0" fillId="8" borderId="0" xfId="0" applyFill="1"/>
    <xf numFmtId="193" fontId="24" fillId="12" borderId="10" xfId="0" applyNumberFormat="1" applyFont="1" applyFill="1" applyBorder="1" applyAlignment="1">
      <alignment horizontal="right" vertical="center"/>
    </xf>
    <xf numFmtId="0" fontId="0" fillId="8" borderId="10" xfId="0" applyFill="1" applyBorder="1"/>
    <xf numFmtId="0" fontId="0" fillId="8" borderId="11" xfId="0" applyFill="1" applyBorder="1" applyAlignment="1">
      <alignment horizontal="right" vertical="center"/>
    </xf>
    <xf numFmtId="0" fontId="0" fillId="13" borderId="6" xfId="0" applyFill="1" applyBorder="1"/>
    <xf numFmtId="0" fontId="0" fillId="13" borderId="7" xfId="0" applyFill="1" applyBorder="1"/>
    <xf numFmtId="0" fontId="0" fillId="13" borderId="8" xfId="0" applyFill="1" applyBorder="1"/>
    <xf numFmtId="0" fontId="24" fillId="12" borderId="9" xfId="0" applyFont="1" applyFill="1" applyBorder="1" applyAlignment="1">
      <alignment vertical="top" indent="1"/>
    </xf>
    <xf numFmtId="0" fontId="0" fillId="8" borderId="11" xfId="0" applyFill="1" applyBorder="1"/>
    <xf numFmtId="0" fontId="13" fillId="12" borderId="9" xfId="0" applyFont="1" applyFill="1" applyBorder="1" applyAlignment="1">
      <alignment indent="1"/>
    </xf>
    <xf numFmtId="0" fontId="6" fillId="12" borderId="6" xfId="0" applyFont="1" applyFill="1" applyBorder="1" applyAlignment="1">
      <alignment indent="1"/>
    </xf>
    <xf numFmtId="0" fontId="0" fillId="8" borderId="7" xfId="0" applyFill="1" applyBorder="1"/>
    <xf numFmtId="0" fontId="0" fillId="8" borderId="8" xfId="0" applyFill="1" applyBorder="1"/>
    <xf numFmtId="164" fontId="25" fillId="12" borderId="9" xfId="0" applyNumberFormat="1" applyFont="1" applyFill="1" applyBorder="1" applyAlignment="1">
      <alignment horizontal="left" vertical="center" indent="1"/>
    </xf>
    <xf numFmtId="0" fontId="14" fillId="14" borderId="9" xfId="0" applyFont="1" applyFill="1" applyBorder="1" applyAlignment="1">
      <alignment horizontal="center" vertical="center"/>
    </xf>
    <xf numFmtId="187" fontId="26" fillId="12" borderId="9" xfId="0" applyNumberFormat="1" applyFont="1" applyFill="1" applyBorder="1" applyAlignment="1">
      <alignment horizontal="left" vertical="center" indent="1"/>
    </xf>
    <xf numFmtId="0" fontId="24" fillId="12" borderId="10" xfId="0" applyFont="1" applyFill="1" applyBorder="1" applyAlignment="1">
      <alignment horizontal="right" vertical="center"/>
    </xf>
    <xf numFmtId="188" fontId="24" fillId="12" borderId="10" xfId="0" applyNumberFormat="1" applyFont="1" applyFill="1" applyBorder="1" applyAlignment="1">
      <alignment horizontal="right" vertic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192" fontId="26" fillId="12" borderId="9" xfId="0" applyNumberFormat="1" applyFont="1" applyFill="1" applyBorder="1" applyAlignment="1">
      <alignment horizontal="left" vertical="center" indent="1"/>
    </xf>
    <xf numFmtId="3" fontId="25" fillId="12" borderId="9" xfId="0" applyNumberFormat="1" applyFont="1" applyFill="1" applyBorder="1" applyAlignment="1">
      <alignment horizontal="left" vertical="center" indent="1"/>
    </xf>
    <xf numFmtId="191" fontId="24" fillId="12" borderId="10" xfId="0" applyNumberFormat="1" applyFont="1" applyFill="1" applyBorder="1" applyAlignment="1">
      <alignment horizontal="right" vertical="center"/>
    </xf>
    <xf numFmtId="195" fontId="28" fillId="12" borderId="9" xfId="0" applyNumberFormat="1" applyFont="1" applyFill="1" applyBorder="1" applyAlignment="1">
      <alignment vertical="center" indent="1"/>
    </xf>
    <xf numFmtId="176" fontId="25" fillId="12" borderId="9" xfId="0" applyNumberFormat="1" applyFont="1" applyFill="1" applyBorder="1" applyAlignment="1">
      <alignment horizontal="left" vertical="center" indent="1"/>
    </xf>
    <xf numFmtId="190" fontId="26" fillId="12" borderId="9" xfId="0" applyNumberFormat="1" applyFont="1" applyFill="1" applyBorder="1" applyAlignment="1">
      <alignment horizontal="left" vertical="center" indent="1"/>
    </xf>
    <xf numFmtId="0" fontId="27" fillId="12" borderId="9" xfId="0" applyFont="1" applyFill="1" applyBorder="1" applyAlignment="1">
      <alignment vertical="center" indent="1"/>
    </xf>
    <xf numFmtId="189" fontId="24" fillId="12" borderId="10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0" fillId="3" borderId="4" xfId="0" applyFill="1" applyBorder="1"/>
    <xf numFmtId="0" fontId="0" fillId="3" borderId="5" xfId="0" applyFill="1" applyBorder="1"/>
    <xf numFmtId="186" fontId="26" fillId="12" borderId="9" xfId="0" applyNumberFormat="1" applyFont="1" applyFill="1" applyBorder="1" applyAlignment="1">
      <alignment horizontal="left" vertical="center" indent="1"/>
    </xf>
    <xf numFmtId="0" fontId="24" fillId="8" borderId="0" xfId="0" applyFont="1" applyFill="1" applyAlignment="1">
      <alignment horizontal="center" vertical="center"/>
    </xf>
    <xf numFmtId="0" fontId="23" fillId="8" borderId="0" xfId="0" applyFont="1" applyFill="1" applyAlignment="1">
      <alignment vertical="center"/>
    </xf>
    <xf numFmtId="0" fontId="22" fillId="8" borderId="0" xfId="0" applyFont="1" applyFill="1"/>
    <xf numFmtId="0" fontId="7" fillId="8" borderId="0" xfId="0" applyFont="1" applyFill="1" applyAlignment="1">
      <alignment vertical="center"/>
    </xf>
    <xf numFmtId="196" fontId="24" fillId="12" borderId="10" xfId="0" applyNumberFormat="1" applyFont="1" applyFill="1" applyBorder="1" applyAlignment="1">
      <alignment horizontal="right" vertical="center"/>
    </xf>
    <xf numFmtId="180" fontId="25" fillId="12" borderId="9" xfId="0" applyNumberFormat="1" applyFont="1" applyFill="1" applyBorder="1" applyAlignment="1">
      <alignment horizontal="left" vertical="center" indent="1"/>
    </xf>
    <xf numFmtId="194" fontId="26" fillId="12" borderId="9" xfId="0" applyNumberFormat="1" applyFont="1" applyFill="1" applyBorder="1" applyAlignment="1">
      <alignment horizontal="left" vertical="center" indent="1"/>
    </xf>
    <xf numFmtId="0" fontId="13" fillId="8" borderId="0" xfId="0" applyFont="1" applyFill="1" applyAlignment="1">
      <alignment horizontal="right" vertical="center"/>
    </xf>
  </cellXfs>
  <cellStyles count="1">
    <cellStyle name="Normal" xfId="0" builtinId="0"/>
  </cellStyles>
  <dxfs count="98"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C9284A"/>
      </font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ill>
        <patternFill patternType="solid">
          <fgColor rgb="FFF6F8FB"/>
          <bgColor rgb="FFF6F8FB"/>
        </patternFill>
      </fill>
    </dxf>
    <dxf>
      <fill>
        <patternFill patternType="solid">
          <fgColor rgb="FFC9284A"/>
          <bgColor rgb="FFC9284A"/>
        </patternFill>
      </fill>
    </dxf>
    <dxf>
      <fill>
        <patternFill patternType="solid">
          <fgColor rgb="FF9A5B05"/>
          <bgColor rgb="FF9A5B05"/>
        </patternFill>
      </fill>
    </dxf>
    <dxf>
      <fill>
        <patternFill patternType="solid">
          <fgColor rgb="FF0F6B47"/>
          <bgColor rgb="FF0F6B47"/>
        </patternFill>
      </fill>
    </dxf>
    <dxf>
      <fill>
        <patternFill patternType="solid">
          <fgColor rgb="FF0F6B47"/>
          <bgColor rgb="FF0F6B47"/>
        </patternFill>
      </fill>
    </dxf>
    <dxf>
      <fill>
        <patternFill patternType="solid">
          <fgColor rgb="FFC9284A"/>
          <bgColor rgb="FFC9284A"/>
        </patternFill>
      </fill>
    </dxf>
    <dxf>
      <fill>
        <patternFill patternType="solid">
          <fgColor rgb="FF9A5B05"/>
          <bgColor rgb="FF9A5B05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C9284A"/>
      </font>
    </dxf>
    <dxf>
      <font>
        <b/>
        <color rgb="FF0F6B47"/>
      </font>
    </dxf>
    <dxf>
      <font>
        <b/>
        <color rgb="FF0F6B47"/>
      </font>
    </dxf>
    <dxf>
      <font>
        <b/>
        <color rgb="FFC9284A"/>
      </font>
    </dxf>
    <dxf>
      <fill>
        <patternFill patternType="solid">
          <fgColor rgb="FFC9284A"/>
          <bgColor rgb="FFC9284A"/>
        </patternFill>
      </fill>
    </dxf>
    <dxf>
      <fill>
        <patternFill patternType="solid">
          <fgColor rgb="FF9A5B05"/>
          <bgColor rgb="FF9A5B05"/>
        </patternFill>
      </fill>
    </dxf>
    <dxf>
      <fill>
        <patternFill patternType="solid">
          <fgColor rgb="FF0F6B47"/>
          <bgColor rgb="FF0F6B47"/>
        </patternFill>
      </fill>
    </dxf>
    <dxf>
      <fill>
        <patternFill patternType="solid">
          <fgColor rgb="FF0F6B47"/>
          <bgColor rgb="FF0F6B47"/>
        </patternFill>
      </fill>
    </dxf>
    <dxf>
      <fill>
        <patternFill patternType="solid">
          <fgColor rgb="FF9A5B05"/>
          <bgColor rgb="FF9A5B05"/>
        </patternFill>
      </fill>
    </dxf>
    <dxf>
      <fill>
        <patternFill patternType="solid">
          <fgColor rgb="FFC9284A"/>
          <bgColor rgb="FFC9284A"/>
        </patternFill>
      </fill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C9284A"/>
      </font>
    </dxf>
    <dxf>
      <font>
        <b/>
        <color rgb="FF0F6B47"/>
      </font>
    </dxf>
    <dxf>
      <font>
        <b/>
        <color rgb="FFC9284A"/>
      </font>
    </dxf>
    <dxf>
      <font>
        <b/>
        <color rgb="FF0F6B47"/>
      </font>
    </dxf>
    <dxf>
      <fill>
        <patternFill patternType="solid">
          <fgColor rgb="FF0F6B47"/>
          <bgColor rgb="FF0F6B47"/>
        </patternFill>
      </fill>
    </dxf>
    <dxf>
      <fill>
        <patternFill patternType="solid">
          <fgColor rgb="FF9A5B05"/>
          <bgColor rgb="FF9A5B05"/>
        </patternFill>
      </fill>
    </dxf>
    <dxf>
      <fill>
        <patternFill patternType="solid">
          <fgColor rgb="FFC9284A"/>
          <bgColor rgb="FFC9284A"/>
        </patternFill>
      </fill>
    </dxf>
    <dxf>
      <fill>
        <patternFill patternType="solid">
          <fgColor rgb="FF0F6B47"/>
          <bgColor rgb="FF0F6B47"/>
        </patternFill>
      </fill>
    </dxf>
    <dxf>
      <fill>
        <patternFill patternType="solid">
          <fgColor rgb="FF9A5B05"/>
          <bgColor rgb="FF9A5B05"/>
        </patternFill>
      </fill>
    </dxf>
    <dxf>
      <fill>
        <patternFill patternType="solid">
          <fgColor rgb="FFC9284A"/>
          <bgColor rgb="FFC9284A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C9284A"/>
      </font>
    </dxf>
    <dxf>
      <font>
        <b/>
        <color rgb="FF0F6B47"/>
      </font>
    </dxf>
    <dxf>
      <font>
        <b/>
        <color rgb="FFC9284A"/>
      </font>
    </dxf>
    <dxf>
      <font>
        <b/>
        <color rgb="FF0F6B47"/>
      </font>
    </dxf>
    <dxf>
      <fill>
        <patternFill patternType="solid">
          <fgColor rgb="FF0F6B47"/>
          <bgColor rgb="FF0F6B47"/>
        </patternFill>
      </fill>
    </dxf>
    <dxf>
      <fill>
        <patternFill patternType="solid">
          <fgColor rgb="FF9A5B05"/>
          <bgColor rgb="FF9A5B05"/>
        </patternFill>
      </fill>
    </dxf>
    <dxf>
      <fill>
        <patternFill patternType="solid">
          <fgColor rgb="FFC9284A"/>
          <bgColor rgb="FFC9284A"/>
        </patternFill>
      </fill>
    </dxf>
    <dxf>
      <fill>
        <patternFill patternType="solid">
          <fgColor rgb="FF9A5B05"/>
          <bgColor rgb="FF9A5B05"/>
        </patternFill>
      </fill>
    </dxf>
    <dxf>
      <fill>
        <patternFill patternType="solid">
          <fgColor rgb="FF0F6B47"/>
          <bgColor rgb="FF0F6B47"/>
        </patternFill>
      </fill>
    </dxf>
    <dxf>
      <fill>
        <patternFill patternType="solid">
          <fgColor rgb="FFC9284A"/>
          <bgColor rgb="FFC9284A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  <dxf>
      <font>
        <b/>
        <color rgb="FFC9284A"/>
      </font>
      <fill>
        <patternFill patternType="solid">
          <fgColor rgb="FFFFE8ED"/>
          <bgColor rgb="FFFFE8ED"/>
        </patternFill>
      </fill>
    </dxf>
    <dxf>
      <font>
        <b/>
        <color rgb="FF0F6B47"/>
      </font>
    </dxf>
    <dxf>
      <font>
        <b/>
        <color rgb="FFC9284A"/>
      </font>
    </dxf>
    <dxf>
      <font>
        <b/>
        <color rgb="FFC9284A"/>
      </font>
    </dxf>
    <dxf>
      <font>
        <b/>
        <color rgb="FF0F6B47"/>
      </font>
    </dxf>
    <dxf>
      <font>
        <b/>
        <color rgb="FFC9284A"/>
      </font>
    </dxf>
    <dxf>
      <font>
        <b/>
        <color rgb="FFC9284A"/>
      </font>
    </dxf>
    <dxf>
      <font>
        <b/>
        <color rgb="FF0F6B47"/>
      </font>
    </dxf>
    <dxf>
      <font>
        <b/>
        <color rgb="FFC9284A"/>
      </font>
    </dxf>
    <dxf>
      <font>
        <b/>
        <color rgb="FF0F6B47"/>
      </font>
    </dxf>
    <dxf>
      <font>
        <b/>
        <color rgb="FFC9284A"/>
      </font>
    </dxf>
    <dxf>
      <font>
        <b/>
        <color rgb="FF9A5B05"/>
      </font>
      <fill>
        <patternFill patternType="solid">
          <fgColor rgb="FFFFF1D8"/>
          <bgColor rgb="FFFFF1D8"/>
        </patternFill>
      </fill>
    </dxf>
    <dxf>
      <font>
        <b/>
        <color rgb="FF0F6B47"/>
      </font>
      <fill>
        <patternFill patternType="solid">
          <fgColor rgb="FFE2F7EC"/>
          <bgColor rgb="FFE2F7E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_tradnl"/>
  <c:roundedCorners val="0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Socios</c:v>
          </c:tx>
          <c:spPr>
            <a:solidFill>
              <a:srgbClr val="0FB5A3"/>
            </a:solidFill>
            <a:ln>
              <a:noFill/>
              <a:prstDash val="solid"/>
            </a:ln>
          </c:spPr>
          <c:invertIfNegative val="1"/>
          <c:dLbls>
            <c:numFmt formatCode="#,##0;\-#,##0;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rgbClr val="4B586B"/>
                    </a:solidFill>
                    <a:latin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Indicadores!$D$5:$O$5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Indicadores!$D$10:$O$10</c:f>
              <c:numCache>
                <c:formatCode>#,##0</c:formatCode>
                <c:ptCount val="12"/>
                <c:pt idx="0">
                  <c:v>251</c:v>
                </c:pt>
                <c:pt idx="1">
                  <c:v>258</c:v>
                </c:pt>
                <c:pt idx="2">
                  <c:v>262</c:v>
                </c:pt>
                <c:pt idx="3">
                  <c:v>263</c:v>
                </c:pt>
                <c:pt idx="4">
                  <c:v>264</c:v>
                </c:pt>
                <c:pt idx="5">
                  <c:v>259</c:v>
                </c:pt>
                <c:pt idx="6">
                  <c:v>246</c:v>
                </c:pt>
                <c:pt idx="7">
                  <c:v>234</c:v>
                </c:pt>
                <c:pt idx="8">
                  <c:v>257</c:v>
                </c:pt>
                <c:pt idx="9">
                  <c:v>266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5E9-BC49-B61C-BC7836374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rgbClr val="C9D2DE"/>
            </a:solidFill>
            <a:prstDash val="solid"/>
          </a:ln>
        </c:spPr>
        <c:txPr>
          <a:bodyPr/>
          <a:lstStyle/>
          <a:p>
            <a:pPr>
              <a:defRPr sz="750" b="0">
                <a:solidFill>
                  <a:srgbClr val="4B586B"/>
                </a:solidFill>
                <a:latin typeface="Arial"/>
                <a:cs typeface="Arial"/>
              </a:defRPr>
            </a:pPr>
            <a:endParaRPr lang="es-E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1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plotVisOnly val="1"/>
    <c:dispBlanksAs val="gap"/>
    <c:showDLblsOverMax val="1"/>
  </c:chart>
  <c:spPr>
    <a:noFill/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_tradnl"/>
  <c:roundedCorners val="0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Altas</c:v>
          </c:tx>
          <c:spPr>
            <a:solidFill>
              <a:srgbClr val="0FB5A3"/>
            </a:solidFill>
            <a:ln>
              <a:noFill/>
              <a:prstDash val="solid"/>
            </a:ln>
          </c:spPr>
          <c:invertIfNegative val="1"/>
          <c:cat>
            <c:strRef>
              <c:f>Indicadores!$D$5:$O$5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Indicadores!$D$8:$O$8</c:f>
              <c:numCache>
                <c:formatCode>#,##0</c:formatCode>
                <c:ptCount val="12"/>
                <c:pt idx="0">
                  <c:v>24</c:v>
                </c:pt>
                <c:pt idx="1">
                  <c:v>15</c:v>
                </c:pt>
                <c:pt idx="2">
                  <c:v>13</c:v>
                </c:pt>
                <c:pt idx="3">
                  <c:v>11</c:v>
                </c:pt>
                <c:pt idx="4">
                  <c:v>12</c:v>
                </c:pt>
                <c:pt idx="5">
                  <c:v>9</c:v>
                </c:pt>
                <c:pt idx="6">
                  <c:v>6</c:v>
                </c:pt>
                <c:pt idx="7">
                  <c:v>5</c:v>
                </c:pt>
                <c:pt idx="8">
                  <c:v>31</c:v>
                </c:pt>
                <c:pt idx="9">
                  <c:v>18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97C-7C48-8B83-FD1061A154E0}"/>
            </c:ext>
          </c:extLst>
        </c:ser>
        <c:ser>
          <c:idx val="1"/>
          <c:order val="1"/>
          <c:tx>
            <c:v>Bajas</c:v>
          </c:tx>
          <c:spPr>
            <a:solidFill>
              <a:srgbClr val="4A3CCF"/>
            </a:solidFill>
            <a:ln>
              <a:noFill/>
              <a:prstDash val="solid"/>
            </a:ln>
          </c:spPr>
          <c:invertIfNegative val="1"/>
          <c:cat>
            <c:strRef>
              <c:f>Indicadores!$D$5:$O$5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Indicadores!$D$9:$O$9</c:f>
              <c:numCache>
                <c:formatCode>#,##0</c:formatCode>
                <c:ptCount val="12"/>
                <c:pt idx="0">
                  <c:v>9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14</c:v>
                </c:pt>
                <c:pt idx="6">
                  <c:v>19</c:v>
                </c:pt>
                <c:pt idx="7">
                  <c:v>17</c:v>
                </c:pt>
                <c:pt idx="8">
                  <c:v>8</c:v>
                </c:pt>
                <c:pt idx="9">
                  <c:v>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97C-7C48-8B83-FD1061A15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12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rgbClr val="C9D2DE"/>
            </a:solidFill>
            <a:prstDash val="solid"/>
          </a:ln>
        </c:spPr>
        <c:txPr>
          <a:bodyPr/>
          <a:lstStyle/>
          <a:p>
            <a:pPr>
              <a:defRPr sz="750" b="0">
                <a:solidFill>
                  <a:srgbClr val="4B586B"/>
                </a:solidFill>
                <a:latin typeface="Arial"/>
                <a:cs typeface="Arial"/>
              </a:defRPr>
            </a:pPr>
            <a:endParaRPr lang="es-E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0"/>
        <c:axPos val="l"/>
        <c:majorGridlines>
          <c:spPr>
            <a:ln w="6350">
              <a:solidFill>
                <a:srgbClr val="E3E9F0"/>
              </a:solidFill>
              <a:prstDash val="solid"/>
            </a:ln>
          </c:spPr>
        </c:majorGridlines>
        <c:numFmt formatCode="General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700" b="0">
                <a:solidFill>
                  <a:srgbClr val="5C697D"/>
                </a:solidFill>
                <a:latin typeface="Arial"/>
                <a:cs typeface="Arial"/>
              </a:defRPr>
            </a:pPr>
            <a:endParaRPr lang="es-ES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legend>
      <c:legendPos val="t"/>
      <c:overlay val="0"/>
      <c:txPr>
        <a:bodyPr/>
        <a:lstStyle/>
        <a:p>
          <a:pPr>
            <a:defRPr sz="750" b="0">
              <a:solidFill>
                <a:srgbClr val="4B586B"/>
              </a:solidFill>
              <a:latin typeface="Arial"/>
              <a:cs typeface="Arial"/>
            </a:defRPr>
          </a:pPr>
          <a:endParaRPr lang="es-ES"/>
        </a:p>
      </c:txPr>
    </c:legend>
    <c:plotVisOnly val="1"/>
    <c:dispBlanksAs val="gap"/>
    <c:showDLblsOverMax val="1"/>
  </c:chart>
  <c:spPr>
    <a:noFill/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_tradnl"/>
  <c:roundedCorners val="0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Tasa de bajas</c:v>
          </c:tx>
          <c:spPr>
            <a:solidFill>
              <a:srgbClr val="4A3CCF"/>
            </a:solidFill>
            <a:ln>
              <a:noFill/>
              <a:prstDash val="solid"/>
            </a:ln>
          </c:spPr>
          <c:invertIfNegative val="1"/>
          <c:cat>
            <c:strRef>
              <c:f>Indicadores!$D$5:$O$5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Indicadores!$D$12:$O$12</c:f>
              <c:numCache>
                <c:formatCode>0.0%</c:formatCode>
                <c:ptCount val="12"/>
                <c:pt idx="0">
                  <c:v>3.8135593220338986E-2</c:v>
                </c:pt>
                <c:pt idx="1">
                  <c:v>3.1872509960159362E-2</c:v>
                </c:pt>
                <c:pt idx="2">
                  <c:v>3.4883720930232558E-2</c:v>
                </c:pt>
                <c:pt idx="3">
                  <c:v>3.8167938931297711E-2</c:v>
                </c:pt>
                <c:pt idx="4">
                  <c:v>4.1825095057034217E-2</c:v>
                </c:pt>
                <c:pt idx="5">
                  <c:v>5.3030303030303032E-2</c:v>
                </c:pt>
                <c:pt idx="6">
                  <c:v>7.3359073359073365E-2</c:v>
                </c:pt>
                <c:pt idx="7">
                  <c:v>6.910569105691057E-2</c:v>
                </c:pt>
                <c:pt idx="8">
                  <c:v>3.4188034188034191E-2</c:v>
                </c:pt>
                <c:pt idx="9">
                  <c:v>3.5019455252918288E-2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532-B54F-B539-A3152B4DB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axId val="10"/>
        <c:axId val="100"/>
      </c:barChart>
      <c:lineChart>
        <c:grouping val="standard"/>
        <c:varyColors val="1"/>
        <c:ser>
          <c:idx val="1"/>
          <c:order val="1"/>
          <c:tx>
            <c:v>Tu objetivo (máximo)</c:v>
          </c:tx>
          <c:spPr>
            <a:ln w="15875">
              <a:solidFill>
                <a:srgbClr val="0B1220"/>
              </a:solidFill>
              <a:prstDash val="dash"/>
            </a:ln>
          </c:spPr>
          <c:marker>
            <c:symbol val="none"/>
          </c:marker>
          <c:val>
            <c:numRef>
              <c:f>'Cálculos panel'!$D$48:$O$48</c:f>
              <c:numCache>
                <c:formatCode>0.0%</c:formatCode>
                <c:ptCount val="12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32-B54F-B539-A3152B4DB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rgbClr val="C9D2DE"/>
            </a:solidFill>
            <a:prstDash val="solid"/>
          </a:ln>
        </c:spPr>
        <c:txPr>
          <a:bodyPr/>
          <a:lstStyle/>
          <a:p>
            <a:pPr>
              <a:defRPr sz="750" b="0">
                <a:solidFill>
                  <a:srgbClr val="4B586B"/>
                </a:solidFill>
                <a:latin typeface="Arial"/>
                <a:cs typeface="Arial"/>
              </a:defRPr>
            </a:pPr>
            <a:endParaRPr lang="es-E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0"/>
        <c:axPos val="l"/>
        <c:majorGridlines>
          <c:spPr>
            <a:ln w="6350">
              <a:solidFill>
                <a:srgbClr val="E3E9F0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700" b="0">
                <a:solidFill>
                  <a:srgbClr val="5C697D"/>
                </a:solidFill>
                <a:latin typeface="Arial"/>
                <a:cs typeface="Arial"/>
              </a:defRPr>
            </a:pPr>
            <a:endParaRPr lang="es-ES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legend>
      <c:legendPos val="t"/>
      <c:overlay val="0"/>
      <c:txPr>
        <a:bodyPr/>
        <a:lstStyle/>
        <a:p>
          <a:pPr>
            <a:defRPr sz="750" b="0">
              <a:solidFill>
                <a:srgbClr val="4B586B"/>
              </a:solidFill>
              <a:latin typeface="Arial"/>
              <a:cs typeface="Arial"/>
            </a:defRPr>
          </a:pPr>
          <a:endParaRPr lang="es-ES"/>
        </a:p>
      </c:txPr>
    </c:legend>
    <c:plotVisOnly val="1"/>
    <c:dispBlanksAs val="gap"/>
    <c:showDLblsOverMax val="1"/>
  </c:chart>
  <c:spPr>
    <a:noFill/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_tradnl"/>
  <c:roundedCorners val="0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Ingresos</c:v>
          </c:tx>
          <c:spPr>
            <a:solidFill>
              <a:srgbClr val="0FB5A3"/>
            </a:solidFill>
            <a:ln>
              <a:noFill/>
              <a:prstDash val="solid"/>
            </a:ln>
          </c:spPr>
          <c:invertIfNegative val="1"/>
          <c:cat>
            <c:strRef>
              <c:f>Indicadores!$D$5:$O$5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Indicadores!$D$15:$O$15</c:f>
              <c:numCache>
                <c:formatCode>#,##0\ "€"</c:formatCode>
                <c:ptCount val="12"/>
                <c:pt idx="0">
                  <c:v>17290</c:v>
                </c:pt>
                <c:pt idx="1">
                  <c:v>17500</c:v>
                </c:pt>
                <c:pt idx="2">
                  <c:v>17890</c:v>
                </c:pt>
                <c:pt idx="3">
                  <c:v>17810</c:v>
                </c:pt>
                <c:pt idx="4">
                  <c:v>18370</c:v>
                </c:pt>
                <c:pt idx="5">
                  <c:v>17970</c:v>
                </c:pt>
                <c:pt idx="6">
                  <c:v>16110</c:v>
                </c:pt>
                <c:pt idx="7">
                  <c:v>13990</c:v>
                </c:pt>
                <c:pt idx="8">
                  <c:v>17680</c:v>
                </c:pt>
                <c:pt idx="9">
                  <c:v>18520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AA2-6844-9B53-C06A17FAAB8D}"/>
            </c:ext>
          </c:extLst>
        </c:ser>
        <c:ser>
          <c:idx val="1"/>
          <c:order val="1"/>
          <c:tx>
            <c:v>Gastos</c:v>
          </c:tx>
          <c:spPr>
            <a:solidFill>
              <a:srgbClr val="4A3CCF"/>
            </a:solidFill>
            <a:ln>
              <a:noFill/>
              <a:prstDash val="solid"/>
            </a:ln>
          </c:spPr>
          <c:invertIfNegative val="1"/>
          <c:cat>
            <c:strRef>
              <c:f>Indicadores!$D$5:$O$5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Indicadores!$D$16:$O$16</c:f>
              <c:numCache>
                <c:formatCode>#,##0\ "€"</c:formatCode>
                <c:ptCount val="12"/>
                <c:pt idx="0">
                  <c:v>14630</c:v>
                </c:pt>
                <c:pt idx="1">
                  <c:v>13890</c:v>
                </c:pt>
                <c:pt idx="2">
                  <c:v>13700</c:v>
                </c:pt>
                <c:pt idx="3">
                  <c:v>13650</c:v>
                </c:pt>
                <c:pt idx="4">
                  <c:v>13590</c:v>
                </c:pt>
                <c:pt idx="5">
                  <c:v>13710</c:v>
                </c:pt>
                <c:pt idx="6">
                  <c:v>13830</c:v>
                </c:pt>
                <c:pt idx="7">
                  <c:v>13800</c:v>
                </c:pt>
                <c:pt idx="8">
                  <c:v>15160</c:v>
                </c:pt>
                <c:pt idx="9">
                  <c:v>15040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DAA2-6844-9B53-C06A17FAA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12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525">
            <a:solidFill>
              <a:srgbClr val="C9D2DE"/>
            </a:solidFill>
            <a:prstDash val="solid"/>
          </a:ln>
        </c:spPr>
        <c:txPr>
          <a:bodyPr/>
          <a:lstStyle/>
          <a:p>
            <a:pPr>
              <a:defRPr sz="750" b="0">
                <a:solidFill>
                  <a:srgbClr val="4B586B"/>
                </a:solidFill>
                <a:latin typeface="Arial"/>
                <a:cs typeface="Arial"/>
              </a:defRPr>
            </a:pPr>
            <a:endParaRPr lang="es-E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0"/>
        <c:axPos val="l"/>
        <c:majorGridlines>
          <c:spPr>
            <a:ln w="6350">
              <a:solidFill>
                <a:srgbClr val="E3E9F0"/>
              </a:solidFill>
              <a:prstDash val="solid"/>
            </a:ln>
          </c:spPr>
        </c:majorGridlines>
        <c:numFmt formatCode="[&gt;=1000]#,##0,&quot; mil&quot;;General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700" b="0">
                <a:solidFill>
                  <a:srgbClr val="5C697D"/>
                </a:solidFill>
                <a:latin typeface="Arial"/>
                <a:cs typeface="Arial"/>
              </a:defRPr>
            </a:pPr>
            <a:endParaRPr lang="es-ES"/>
          </a:p>
        </c:txPr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legend>
      <c:legendPos val="t"/>
      <c:overlay val="0"/>
      <c:txPr>
        <a:bodyPr/>
        <a:lstStyle/>
        <a:p>
          <a:pPr>
            <a:defRPr sz="750" b="0">
              <a:solidFill>
                <a:srgbClr val="4B586B"/>
              </a:solidFill>
              <a:latin typeface="Arial"/>
              <a:cs typeface="Arial"/>
            </a:defRPr>
          </a:pPr>
          <a:endParaRPr lang="es-ES"/>
        </a:p>
      </c:txPr>
    </c:legend>
    <c:plotVisOnly val="1"/>
    <c:dispBlanksAs val="gap"/>
    <c:showDLblsOverMax val="1"/>
  </c:chart>
  <c:spPr>
    <a:noFill/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_tradnl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24"/>
          <c:y val="0.06"/>
          <c:w val="0.62"/>
          <c:h val="0.88"/>
        </c:manualLayout>
      </c:layout>
      <c:barChart>
        <c:barDir val="bar"/>
        <c:grouping val="clustered"/>
        <c:varyColors val="1"/>
        <c:ser>
          <c:idx val="0"/>
          <c:order val="0"/>
          <c:tx>
            <c:v>Personas</c:v>
          </c:tx>
          <c:spPr>
            <a:solidFill>
              <a:srgbClr val="0F9488"/>
            </a:solidFill>
            <a:ln>
              <a:noFill/>
              <a:prstDash val="solid"/>
            </a:ln>
          </c:spPr>
          <c:invertIfNegative val="1"/>
          <c:dPt>
            <c:idx val="0"/>
            <c:invertIfNegative val="1"/>
            <c:bubble3D val="0"/>
            <c:spPr>
              <a:solidFill>
                <a:srgbClr val="3FC4B4"/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AB-FD46-B716-D59FE20646ED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3-8BAB-FD46-B716-D59FE20646ED}"/>
              </c:ext>
            </c:extLst>
          </c:dPt>
          <c:dPt>
            <c:idx val="2"/>
            <c:invertIfNegative val="1"/>
            <c:bubble3D val="0"/>
            <c:spPr>
              <a:solidFill>
                <a:srgbClr val="075E57"/>
              </a:solidFill>
              <a:ln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AB-FD46-B716-D59FE20646ED}"/>
              </c:ext>
            </c:extLst>
          </c:dPt>
          <c:dLbls>
            <c:numFmt formatCode="#,##0;\-#,##0;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0B1220"/>
                    </a:solidFill>
                    <a:latin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'Cálculos panel'!$B$36:$B$38</c:f>
              <c:strCache>
                <c:ptCount val="3"/>
                <c:pt idx="0">
                  <c:v>Contactos</c:v>
                </c:pt>
                <c:pt idx="1">
                  <c:v>Pruebas · 45 %</c:v>
                </c:pt>
                <c:pt idx="2">
                  <c:v>Altas · 43 %</c:v>
                </c:pt>
              </c:strCache>
            </c:strRef>
          </c:cat>
          <c:val>
            <c:numRef>
              <c:f>'Cálculos panel'!$C$36:$C$38</c:f>
              <c:numCache>
                <c:formatCode>#,##0</c:formatCode>
                <c:ptCount val="3"/>
                <c:pt idx="0">
                  <c:v>77</c:v>
                </c:pt>
                <c:pt idx="1">
                  <c:v>35</c:v>
                </c:pt>
                <c:pt idx="2">
                  <c:v>15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6-8BAB-FD46-B716-D59FE2064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525">
            <a:solidFill>
              <a:srgbClr val="C9D2DE"/>
            </a:solidFill>
            <a:prstDash val="solid"/>
          </a:ln>
        </c:spPr>
        <c:txPr>
          <a:bodyPr/>
          <a:lstStyle/>
          <a:p>
            <a:pPr>
              <a:defRPr sz="800" b="0">
                <a:solidFill>
                  <a:srgbClr val="4B586B"/>
                </a:solidFill>
                <a:latin typeface="Arial"/>
                <a:cs typeface="Arial"/>
              </a:defRPr>
            </a:pPr>
            <a:endParaRPr lang="es-E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1"/>
        <c:axPos val="t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plotVisOnly val="1"/>
    <c:dispBlanksAs val="gap"/>
    <c:showDLblsOverMax val="1"/>
  </c:chart>
  <c:spPr>
    <a:noFill/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_tradnl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46"/>
          <c:y val="0.04"/>
          <c:w val="0.36"/>
          <c:h val="0.92"/>
        </c:manualLayout>
      </c:layout>
      <c:barChart>
        <c:barDir val="bar"/>
        <c:grouping val="clustered"/>
        <c:varyColors val="1"/>
        <c:ser>
          <c:idx val="0"/>
          <c:order val="0"/>
          <c:tx>
            <c:v>Ingresos</c:v>
          </c:tx>
          <c:spPr>
            <a:solidFill>
              <a:srgbClr val="0FB5A3"/>
            </a:solidFill>
            <a:ln>
              <a:noFill/>
              <a:prstDash val="solid"/>
            </a:ln>
          </c:spPr>
          <c:invertIfNegative val="1"/>
          <c:dLbls>
            <c:numFmt formatCode="#,##0&quot; €&quot;;\-#,##0&quot; €&quot;;;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50" b="1">
                    <a:solidFill>
                      <a:srgbClr val="0B1220"/>
                    </a:solidFill>
                    <a:latin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'Cálculos panel'!$B$41:$B$45</c:f>
              <c:strCache>
                <c:ptCount val="5"/>
                <c:pt idx="0">
                  <c:v>Cuotas · 70 %</c:v>
                </c:pt>
                <c:pt idx="1">
                  <c:v>Bonos y sesiones · 5 %</c:v>
                </c:pt>
                <c:pt idx="2">
                  <c:v>Entrenamiento personal · 19 %</c:v>
                </c:pt>
                <c:pt idx="3">
                  <c:v>Tienda · 3 %</c:v>
                </c:pt>
                <c:pt idx="4">
                  <c:v>Otros · 3 %</c:v>
                </c:pt>
              </c:strCache>
            </c:strRef>
          </c:cat>
          <c:val>
            <c:numRef>
              <c:f>'Cálculos panel'!$C$41:$C$45</c:f>
              <c:numCache>
                <c:formatCode>#,##0\ "€"</c:formatCode>
                <c:ptCount val="5"/>
                <c:pt idx="0">
                  <c:v>12920</c:v>
                </c:pt>
                <c:pt idx="1">
                  <c:v>940</c:v>
                </c:pt>
                <c:pt idx="2">
                  <c:v>3560</c:v>
                </c:pt>
                <c:pt idx="3">
                  <c:v>540</c:v>
                </c:pt>
                <c:pt idx="4">
                  <c:v>560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6CD-5443-BF08-AA5C1AAF0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525">
            <a:solidFill>
              <a:srgbClr val="C9D2DE"/>
            </a:solidFill>
            <a:prstDash val="solid"/>
          </a:ln>
        </c:spPr>
        <c:txPr>
          <a:bodyPr/>
          <a:lstStyle/>
          <a:p>
            <a:pPr>
              <a:defRPr sz="750" b="0">
                <a:solidFill>
                  <a:srgbClr val="4B586B"/>
                </a:solidFill>
                <a:latin typeface="Arial"/>
                <a:cs typeface="Arial"/>
              </a:defRPr>
            </a:pPr>
            <a:endParaRPr lang="es-E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1"/>
        <c:axPos val="t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  <a:prstDash val="solid"/>
        </a:ln>
      </c:spPr>
    </c:plotArea>
    <c:plotVisOnly val="1"/>
    <c:dispBlanksAs val="gap"/>
    <c:showDLblsOverMax val="1"/>
  </c:chart>
  <c:spPr>
    <a:noFill/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28750" cy="419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15</xdr:col>
      <xdr:colOff>0</xdr:colOff>
      <xdr:row>33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25</xdr:row>
      <xdr:rowOff>0</xdr:rowOff>
    </xdr:from>
    <xdr:to>
      <xdr:col>30</xdr:col>
      <xdr:colOff>0</xdr:colOff>
      <xdr:row>33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31</xdr:col>
      <xdr:colOff>0</xdr:colOff>
      <xdr:row>25</xdr:row>
      <xdr:rowOff>0</xdr:rowOff>
    </xdr:from>
    <xdr:to>
      <xdr:col>45</xdr:col>
      <xdr:colOff>0</xdr:colOff>
      <xdr:row>33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15</xdr:col>
      <xdr:colOff>0</xdr:colOff>
      <xdr:row>45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0</xdr:colOff>
      <xdr:row>37</xdr:row>
      <xdr:rowOff>0</xdr:rowOff>
    </xdr:from>
    <xdr:to>
      <xdr:col>30</xdr:col>
      <xdr:colOff>0</xdr:colOff>
      <xdr:row>45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31</xdr:col>
      <xdr:colOff>0</xdr:colOff>
      <xdr:row>37</xdr:row>
      <xdr:rowOff>0</xdr:rowOff>
    </xdr:from>
    <xdr:to>
      <xdr:col>45</xdr:col>
      <xdr:colOff>0</xdr:colOff>
      <xdr:row>45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gymgym.es/recurso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gymgym.es/recur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A0E15"/>
  </sheetPr>
  <dimension ref="B1:D52"/>
  <sheetViews>
    <sheetView showGridLines="0" tabSelected="1" workbookViewId="0"/>
  </sheetViews>
  <sheetFormatPr baseColWidth="10" defaultColWidth="8.83203125" defaultRowHeight="15" x14ac:dyDescent="0.2"/>
  <cols>
    <col min="1" max="1" width="3" customWidth="1"/>
    <col min="2" max="2" width="5.5" customWidth="1"/>
    <col min="3" max="3" width="3" customWidth="1"/>
    <col min="4" max="4" width="92" customWidth="1"/>
    <col min="5" max="5" width="3" customWidth="1"/>
  </cols>
  <sheetData>
    <row r="1" spans="2:4" ht="14" customHeight="1" x14ac:dyDescent="0.2"/>
    <row r="2" spans="2:4" ht="40" customHeight="1" x14ac:dyDescent="0.2"/>
    <row r="3" spans="2:4" ht="12" customHeight="1" x14ac:dyDescent="0.2"/>
    <row r="4" spans="2:4" ht="34" customHeight="1" x14ac:dyDescent="0.3">
      <c r="B4" s="1" t="s">
        <v>0</v>
      </c>
    </row>
    <row r="5" spans="2:4" ht="44" customHeight="1" x14ac:dyDescent="0.2">
      <c r="B5" s="124" t="s">
        <v>1</v>
      </c>
      <c r="C5" s="125"/>
      <c r="D5" s="125"/>
    </row>
    <row r="6" spans="2:4" ht="5" customHeight="1" x14ac:dyDescent="0.2">
      <c r="B6" s="3"/>
      <c r="C6" s="3"/>
      <c r="D6" s="3"/>
    </row>
    <row r="7" spans="2:4" ht="14" customHeight="1" x14ac:dyDescent="0.2"/>
    <row r="8" spans="2:4" ht="24" customHeight="1" x14ac:dyDescent="0.2">
      <c r="B8" s="4" t="s">
        <v>2</v>
      </c>
    </row>
    <row r="9" spans="2:4" ht="6" customHeight="1" x14ac:dyDescent="0.2"/>
    <row r="10" spans="2:4" ht="50" customHeight="1" x14ac:dyDescent="0.2">
      <c r="B10" s="5">
        <v>1</v>
      </c>
      <c r="D10" s="6" t="s">
        <v>3</v>
      </c>
    </row>
    <row r="11" spans="2:4" ht="6" customHeight="1" x14ac:dyDescent="0.2"/>
    <row r="12" spans="2:4" ht="50" customHeight="1" x14ac:dyDescent="0.2">
      <c r="B12" s="5">
        <v>2</v>
      </c>
      <c r="D12" s="6" t="s">
        <v>4</v>
      </c>
    </row>
    <row r="13" spans="2:4" ht="6" customHeight="1" x14ac:dyDescent="0.2"/>
    <row r="14" spans="2:4" ht="50" customHeight="1" x14ac:dyDescent="0.2">
      <c r="B14" s="5">
        <v>3</v>
      </c>
      <c r="D14" s="6" t="s">
        <v>5</v>
      </c>
    </row>
    <row r="15" spans="2:4" ht="6" customHeight="1" x14ac:dyDescent="0.2"/>
    <row r="16" spans="2:4" ht="36" customHeight="1" x14ac:dyDescent="0.2">
      <c r="B16" s="5">
        <v>4</v>
      </c>
      <c r="D16" s="6" t="s">
        <v>6</v>
      </c>
    </row>
    <row r="17" spans="2:4" ht="14" customHeight="1" x14ac:dyDescent="0.2"/>
    <row r="18" spans="2:4" ht="24" customHeight="1" x14ac:dyDescent="0.2">
      <c r="B18" s="4" t="s">
        <v>7</v>
      </c>
    </row>
    <row r="19" spans="2:4" ht="4" customHeight="1" x14ac:dyDescent="0.2"/>
    <row r="20" spans="2:4" ht="20" customHeight="1" x14ac:dyDescent="0.2">
      <c r="B20" s="7"/>
      <c r="D20" s="8" t="s">
        <v>8</v>
      </c>
    </row>
    <row r="21" spans="2:4" ht="4" customHeight="1" x14ac:dyDescent="0.2"/>
    <row r="22" spans="2:4" ht="20" customHeight="1" x14ac:dyDescent="0.2">
      <c r="B22" s="9"/>
      <c r="D22" s="8" t="s">
        <v>9</v>
      </c>
    </row>
    <row r="23" spans="2:4" ht="4" customHeight="1" x14ac:dyDescent="0.2"/>
    <row r="24" spans="2:4" ht="20" customHeight="1" x14ac:dyDescent="0.2">
      <c r="B24" s="10" t="s">
        <v>10</v>
      </c>
      <c r="D24" s="8" t="s">
        <v>11</v>
      </c>
    </row>
    <row r="25" spans="2:4" ht="4" customHeight="1" x14ac:dyDescent="0.2"/>
    <row r="26" spans="2:4" ht="20" customHeight="1" x14ac:dyDescent="0.2">
      <c r="B26" s="11" t="s">
        <v>10</v>
      </c>
      <c r="D26" s="8" t="s">
        <v>12</v>
      </c>
    </row>
    <row r="27" spans="2:4" ht="4" customHeight="1" x14ac:dyDescent="0.2"/>
    <row r="28" spans="2:4" ht="20" customHeight="1" x14ac:dyDescent="0.2">
      <c r="B28" s="12" t="s">
        <v>10</v>
      </c>
      <c r="D28" s="8" t="s">
        <v>13</v>
      </c>
    </row>
    <row r="29" spans="2:4" ht="4" customHeight="1" x14ac:dyDescent="0.2"/>
    <row r="30" spans="2:4" ht="20" customHeight="1" x14ac:dyDescent="0.2">
      <c r="B30" s="13"/>
      <c r="D30" s="8" t="s">
        <v>14</v>
      </c>
    </row>
    <row r="31" spans="2:4" ht="4" customHeight="1" x14ac:dyDescent="0.2"/>
    <row r="32" spans="2:4" ht="22" customHeight="1" x14ac:dyDescent="0.2">
      <c r="D32" s="14" t="s">
        <v>15</v>
      </c>
    </row>
    <row r="33" spans="2:4" ht="14" customHeight="1" x14ac:dyDescent="0.2"/>
    <row r="34" spans="2:4" ht="24" customHeight="1" x14ac:dyDescent="0.2">
      <c r="B34" s="4" t="s">
        <v>16</v>
      </c>
    </row>
    <row r="35" spans="2:4" ht="52" customHeight="1" x14ac:dyDescent="0.2">
      <c r="D35" s="15" t="s">
        <v>17</v>
      </c>
    </row>
    <row r="36" spans="2:4" ht="4" customHeight="1" x14ac:dyDescent="0.2"/>
    <row r="37" spans="2:4" ht="34" customHeight="1" x14ac:dyDescent="0.2">
      <c r="B37" s="16" t="s">
        <v>18</v>
      </c>
      <c r="D37" s="15" t="s">
        <v>19</v>
      </c>
    </row>
    <row r="38" spans="2:4" ht="4" customHeight="1" x14ac:dyDescent="0.2"/>
    <row r="39" spans="2:4" ht="20" customHeight="1" x14ac:dyDescent="0.2">
      <c r="B39" s="16" t="s">
        <v>20</v>
      </c>
      <c r="D39" s="15" t="s">
        <v>21</v>
      </c>
    </row>
    <row r="40" spans="2:4" ht="4" customHeight="1" x14ac:dyDescent="0.2"/>
    <row r="41" spans="2:4" ht="20" customHeight="1" x14ac:dyDescent="0.2">
      <c r="B41" s="16" t="s">
        <v>22</v>
      </c>
      <c r="D41" s="15" t="s">
        <v>23</v>
      </c>
    </row>
    <row r="42" spans="2:4" ht="14" customHeight="1" x14ac:dyDescent="0.2"/>
    <row r="43" spans="2:4" ht="24" customHeight="1" x14ac:dyDescent="0.2">
      <c r="B43" s="4" t="s">
        <v>24</v>
      </c>
    </row>
    <row r="44" spans="2:4" ht="19" customHeight="1" x14ac:dyDescent="0.2">
      <c r="B44" s="16" t="s">
        <v>25</v>
      </c>
      <c r="D44" s="15" t="s">
        <v>26</v>
      </c>
    </row>
    <row r="45" spans="2:4" ht="33" customHeight="1" x14ac:dyDescent="0.2">
      <c r="B45" s="16" t="s">
        <v>25</v>
      </c>
      <c r="D45" s="15" t="s">
        <v>27</v>
      </c>
    </row>
    <row r="46" spans="2:4" ht="19" customHeight="1" x14ac:dyDescent="0.2">
      <c r="B46" s="16" t="s">
        <v>25</v>
      </c>
      <c r="D46" s="15" t="s">
        <v>28</v>
      </c>
    </row>
    <row r="47" spans="2:4" ht="33" customHeight="1" x14ac:dyDescent="0.2">
      <c r="B47" s="16" t="s">
        <v>25</v>
      </c>
      <c r="D47" s="15" t="s">
        <v>29</v>
      </c>
    </row>
    <row r="48" spans="2:4" ht="33" customHeight="1" x14ac:dyDescent="0.2">
      <c r="B48" s="16" t="s">
        <v>25</v>
      </c>
      <c r="D48" s="15" t="s">
        <v>30</v>
      </c>
    </row>
    <row r="49" spans="2:4" ht="18" customHeight="1" x14ac:dyDescent="0.2"/>
    <row r="50" spans="2:4" ht="3" customHeight="1" x14ac:dyDescent="0.2">
      <c r="B50" s="17"/>
      <c r="C50" s="17"/>
      <c r="D50" s="17"/>
    </row>
    <row r="51" spans="2:4" ht="26" customHeight="1" x14ac:dyDescent="0.2">
      <c r="B51" s="14" t="s">
        <v>31</v>
      </c>
    </row>
    <row r="52" spans="2:4" ht="16" customHeight="1" x14ac:dyDescent="0.2">
      <c r="B52" s="18" t="s">
        <v>32</v>
      </c>
    </row>
  </sheetData>
  <mergeCells count="1">
    <mergeCell ref="B5:D5"/>
  </mergeCells>
  <hyperlinks>
    <hyperlink ref="B51" r:id="rId1" xr:uid="{00000000-0004-0000-0000-000000000000}"/>
  </hyperlinks>
  <printOptions horizontalCentered="1"/>
  <pageMargins left="0.4" right="0.4" top="0.6" bottom="0.55000000000000004" header="0.25" footer="0.25"/>
  <pageSetup paperSize="9" scale="72" orientation="portrait"/>
  <headerFooter>
    <oddHeader>&amp;L&amp;"Arial,Regular"&amp;8 &amp;K5C697D&amp;A&amp;R&amp;"Arial,Regular"&amp;8 &amp;K5C697Dgymgym.es/recursos</oddHeader>
    <oddFooter>&amp;L&amp;"Arial,Regular"&amp;8 &amp;K5C697DCuadro de mando mensual · Plantilla gratuita de GymGym&amp;R&amp;"Arial,Regular"&amp;8 &amp;K5C697DPágina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DD6C1"/>
    <pageSetUpPr fitToPage="1"/>
  </sheetPr>
  <dimension ref="B1:I25"/>
  <sheetViews>
    <sheetView showGridLines="0" workbookViewId="0">
      <pane xSplit="2" ySplit="9" topLeftCell="C10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.5" customWidth="1"/>
    <col min="2" max="2" width="36" customWidth="1"/>
    <col min="3" max="3" width="11" customWidth="1"/>
    <col min="4" max="4" width="13" customWidth="1"/>
    <col min="5" max="5" width="14" customWidth="1"/>
    <col min="6" max="6" width="13" customWidth="1"/>
    <col min="7" max="7" width="15" customWidth="1"/>
    <col min="8" max="8" width="16" customWidth="1"/>
    <col min="9" max="9" width="46" customWidth="1"/>
  </cols>
  <sheetData>
    <row r="1" spans="2:9" ht="30" customHeight="1" x14ac:dyDescent="0.2">
      <c r="B1" s="19" t="s">
        <v>33</v>
      </c>
    </row>
    <row r="2" spans="2:9" ht="20" customHeight="1" x14ac:dyDescent="0.2">
      <c r="B2" s="8" t="s">
        <v>34</v>
      </c>
    </row>
    <row r="3" spans="2:9" ht="5" customHeight="1" x14ac:dyDescent="0.2">
      <c r="B3" s="3"/>
      <c r="C3" s="3"/>
      <c r="D3" s="3"/>
      <c r="E3" s="3"/>
      <c r="F3" s="3"/>
      <c r="G3" s="3"/>
      <c r="H3" s="3"/>
      <c r="I3" s="3"/>
    </row>
    <row r="4" spans="2:9" ht="10" customHeight="1" x14ac:dyDescent="0.2"/>
    <row r="5" spans="2:9" ht="22" customHeight="1" x14ac:dyDescent="0.2">
      <c r="B5" s="20" t="s">
        <v>35</v>
      </c>
      <c r="C5" s="126" t="s">
        <v>36</v>
      </c>
      <c r="D5" s="127"/>
      <c r="E5" s="127"/>
    </row>
    <row r="6" spans="2:9" ht="22" customHeight="1" x14ac:dyDescent="0.2">
      <c r="B6" s="20" t="s">
        <v>37</v>
      </c>
      <c r="C6" s="130">
        <v>2026</v>
      </c>
      <c r="D6" s="127"/>
      <c r="E6" s="127"/>
    </row>
    <row r="8" spans="2:9" ht="10" customHeight="1" x14ac:dyDescent="0.2"/>
    <row r="9" spans="2:9" ht="30" customHeight="1" x14ac:dyDescent="0.2">
      <c r="B9" s="21" t="s">
        <v>38</v>
      </c>
      <c r="C9" s="22" t="s">
        <v>39</v>
      </c>
      <c r="D9" s="22" t="s">
        <v>40</v>
      </c>
      <c r="E9" s="22" t="s">
        <v>41</v>
      </c>
      <c r="F9" s="22" t="s">
        <v>42</v>
      </c>
      <c r="G9" s="22" t="s">
        <v>43</v>
      </c>
      <c r="H9" s="22" t="s">
        <v>44</v>
      </c>
      <c r="I9" s="21" t="s">
        <v>45</v>
      </c>
    </row>
    <row r="10" spans="2:9" ht="24" customHeight="1" x14ac:dyDescent="0.2">
      <c r="B10" s="23" t="s">
        <v>46</v>
      </c>
      <c r="C10" s="24" t="s">
        <v>47</v>
      </c>
      <c r="D10" s="25">
        <v>0.04</v>
      </c>
      <c r="E10" s="26">
        <v>1.5</v>
      </c>
      <c r="F10" s="27">
        <f t="shared" ref="F10:F17" si="0">D10</f>
        <v>0.04</v>
      </c>
      <c r="G10" s="28">
        <f>D10+E10/100</f>
        <v>5.5E-2</v>
      </c>
      <c r="H10" s="29">
        <f>D10+E10/100</f>
        <v>5.5E-2</v>
      </c>
      <c r="I10" s="30" t="s">
        <v>48</v>
      </c>
    </row>
    <row r="11" spans="2:9" ht="24" customHeight="1" x14ac:dyDescent="0.2">
      <c r="B11" s="23" t="s">
        <v>49</v>
      </c>
      <c r="C11" s="24" t="s">
        <v>50</v>
      </c>
      <c r="D11" s="25">
        <v>0.4</v>
      </c>
      <c r="E11" s="26">
        <v>8</v>
      </c>
      <c r="F11" s="31">
        <f t="shared" si="0"/>
        <v>0.4</v>
      </c>
      <c r="G11" s="32">
        <f>D11-E11/100</f>
        <v>0.32</v>
      </c>
      <c r="H11" s="33">
        <f>D11-E11/100</f>
        <v>0.32</v>
      </c>
      <c r="I11" s="30"/>
    </row>
    <row r="12" spans="2:9" ht="24" customHeight="1" x14ac:dyDescent="0.2">
      <c r="B12" s="23" t="s">
        <v>51</v>
      </c>
      <c r="C12" s="24" t="s">
        <v>47</v>
      </c>
      <c r="D12" s="34">
        <v>70</v>
      </c>
      <c r="E12" s="35">
        <v>30</v>
      </c>
      <c r="F12" s="36">
        <f t="shared" si="0"/>
        <v>70</v>
      </c>
      <c r="G12" s="37">
        <f>D12+E12</f>
        <v>100</v>
      </c>
      <c r="H12" s="38">
        <f>D12+E12</f>
        <v>100</v>
      </c>
      <c r="I12" s="30" t="s">
        <v>52</v>
      </c>
    </row>
    <row r="13" spans="2:9" ht="24" customHeight="1" x14ac:dyDescent="0.2">
      <c r="B13" s="23" t="s">
        <v>53</v>
      </c>
      <c r="C13" s="24" t="s">
        <v>50</v>
      </c>
      <c r="D13" s="39">
        <v>3</v>
      </c>
      <c r="E13" s="40">
        <v>1</v>
      </c>
      <c r="F13" s="41">
        <f t="shared" si="0"/>
        <v>3</v>
      </c>
      <c r="G13" s="42">
        <f>D13-E13</f>
        <v>2</v>
      </c>
      <c r="H13" s="43">
        <f>D13-E13</f>
        <v>2</v>
      </c>
      <c r="I13" s="30"/>
    </row>
    <row r="14" spans="2:9" ht="24" customHeight="1" x14ac:dyDescent="0.2">
      <c r="B14" s="23" t="s">
        <v>54</v>
      </c>
      <c r="C14" s="24" t="s">
        <v>50</v>
      </c>
      <c r="D14" s="25">
        <v>0.15</v>
      </c>
      <c r="E14" s="26">
        <v>5</v>
      </c>
      <c r="F14" s="31">
        <f t="shared" si="0"/>
        <v>0.15</v>
      </c>
      <c r="G14" s="32">
        <f>D14-E14/100</f>
        <v>9.9999999999999992E-2</v>
      </c>
      <c r="H14" s="33">
        <f>D14-E14/100</f>
        <v>9.9999999999999992E-2</v>
      </c>
      <c r="I14" s="30"/>
    </row>
    <row r="15" spans="2:9" ht="24" customHeight="1" x14ac:dyDescent="0.2">
      <c r="B15" s="23" t="s">
        <v>55</v>
      </c>
      <c r="C15" s="24" t="s">
        <v>47</v>
      </c>
      <c r="D15" s="25">
        <v>0.42</v>
      </c>
      <c r="E15" s="26">
        <v>4</v>
      </c>
      <c r="F15" s="27">
        <f t="shared" si="0"/>
        <v>0.42</v>
      </c>
      <c r="G15" s="28">
        <f>D15+E15/100</f>
        <v>0.45999999999999996</v>
      </c>
      <c r="H15" s="29">
        <f>D15+E15/100</f>
        <v>0.45999999999999996</v>
      </c>
      <c r="I15" s="30" t="s">
        <v>56</v>
      </c>
    </row>
    <row r="16" spans="2:9" ht="24" customHeight="1" x14ac:dyDescent="0.2">
      <c r="B16" s="23" t="s">
        <v>57</v>
      </c>
      <c r="C16" s="24" t="s">
        <v>47</v>
      </c>
      <c r="D16" s="25">
        <v>0.03</v>
      </c>
      <c r="E16" s="26">
        <v>2</v>
      </c>
      <c r="F16" s="27">
        <f t="shared" si="0"/>
        <v>0.03</v>
      </c>
      <c r="G16" s="28">
        <f>D16+E16/100</f>
        <v>0.05</v>
      </c>
      <c r="H16" s="29">
        <f>D16+E16/100</f>
        <v>0.05</v>
      </c>
      <c r="I16" s="30"/>
    </row>
    <row r="17" spans="2:9" ht="24" customHeight="1" x14ac:dyDescent="0.2">
      <c r="B17" s="23" t="s">
        <v>58</v>
      </c>
      <c r="C17" s="24" t="s">
        <v>50</v>
      </c>
      <c r="D17" s="25">
        <v>0.65</v>
      </c>
      <c r="E17" s="26">
        <v>10</v>
      </c>
      <c r="F17" s="31">
        <f t="shared" si="0"/>
        <v>0.65</v>
      </c>
      <c r="G17" s="32">
        <f>D17-E17/100</f>
        <v>0.55000000000000004</v>
      </c>
      <c r="H17" s="33">
        <f>D17-E17/100</f>
        <v>0.55000000000000004</v>
      </c>
      <c r="I17" s="30"/>
    </row>
    <row r="19" spans="2:9" ht="30" customHeight="1" x14ac:dyDescent="0.2">
      <c r="B19" s="129" t="s">
        <v>59</v>
      </c>
      <c r="C19" s="125"/>
      <c r="D19" s="125"/>
      <c r="E19" s="125"/>
      <c r="F19" s="125"/>
      <c r="G19" s="125"/>
      <c r="H19" s="125"/>
      <c r="I19" s="125"/>
    </row>
    <row r="20" spans="2:9" ht="8" customHeight="1" x14ac:dyDescent="0.2"/>
    <row r="21" spans="2:9" ht="22" customHeight="1" x14ac:dyDescent="0.2">
      <c r="B21" s="44" t="s">
        <v>60</v>
      </c>
    </row>
    <row r="22" spans="2:9" ht="18" customHeight="1" x14ac:dyDescent="0.2">
      <c r="B22" s="128" t="s">
        <v>61</v>
      </c>
      <c r="C22" s="125"/>
      <c r="D22" s="125"/>
      <c r="E22" s="125"/>
      <c r="F22" s="125"/>
      <c r="G22" s="125"/>
      <c r="H22" s="125"/>
      <c r="I22" s="125"/>
    </row>
    <row r="23" spans="2:9" ht="18" customHeight="1" x14ac:dyDescent="0.2">
      <c r="B23" s="128" t="s">
        <v>62</v>
      </c>
      <c r="C23" s="125"/>
      <c r="D23" s="125"/>
      <c r="E23" s="125"/>
      <c r="F23" s="125"/>
      <c r="G23" s="125"/>
      <c r="H23" s="125"/>
      <c r="I23" s="125"/>
    </row>
    <row r="24" spans="2:9" ht="18" customHeight="1" x14ac:dyDescent="0.2">
      <c r="B24" s="128" t="s">
        <v>63</v>
      </c>
      <c r="C24" s="125"/>
      <c r="D24" s="125"/>
      <c r="E24" s="125"/>
      <c r="F24" s="125"/>
      <c r="G24" s="125"/>
      <c r="H24" s="125"/>
      <c r="I24" s="125"/>
    </row>
    <row r="25" spans="2:9" ht="18" customHeight="1" x14ac:dyDescent="0.2">
      <c r="B25" s="128" t="s">
        <v>64</v>
      </c>
      <c r="C25" s="125"/>
      <c r="D25" s="125"/>
      <c r="E25" s="125"/>
      <c r="F25" s="125"/>
      <c r="G25" s="125"/>
      <c r="H25" s="125"/>
      <c r="I25" s="125"/>
    </row>
  </sheetData>
  <mergeCells count="7">
    <mergeCell ref="C5:E5"/>
    <mergeCell ref="B25:I25"/>
    <mergeCell ref="B24:I24"/>
    <mergeCell ref="B19:I19"/>
    <mergeCell ref="B22:I22"/>
    <mergeCell ref="B23:I23"/>
    <mergeCell ref="C6:E6"/>
  </mergeCells>
  <dataValidations count="3">
    <dataValidation type="whole" allowBlank="1" showErrorMessage="1" errorTitle="Año" error="Escribe un año de cuatro cifras, por ejemplo 2026." sqref="C6" xr:uid="{00000000-0002-0000-0100-000000000000}">
      <formula1>2000</formula1>
      <formula2>2100</formula2>
    </dataValidation>
    <dataValidation type="decimal" allowBlank="1" showErrorMessage="1" errorTitle="Porcentaje" error="Escribe un porcentaje entre 0% y 100% (por ejemplo 4%)." sqref="D10 D11 D14 D15 D16 D17" xr:uid="{00000000-0002-0000-0100-000001000000}">
      <formula1>0</formula1>
      <formula2>1</formula2>
    </dataValidation>
    <dataValidation type="decimal" operator="greaterThanOrEqual" allowBlank="1" showErrorMessage="1" errorTitle="Número" error="Escribe un número igual o mayor que 0." sqref="D12 D13 E10 E11 E12 E13 E14 E15 E16 E17" xr:uid="{00000000-0002-0000-0100-000002000000}">
      <formula1>0</formula1>
    </dataValidation>
  </dataValidations>
  <printOptions horizontalCentered="1"/>
  <pageMargins left="0.4" right="0.4" top="0.6" bottom="0.55000000000000004" header="0.25" footer="0.25"/>
  <pageSetup paperSize="9" fitToHeight="0" orientation="landscape"/>
  <headerFooter>
    <oddHeader>&amp;L&amp;"Arial,Regular"&amp;8 &amp;K5C697D&amp;A&amp;R&amp;"Arial,Regular"&amp;8 &amp;K5C697Dgymgym.es/recursos</oddHeader>
    <oddFooter>&amp;L&amp;"Arial,Regular"&amp;8 &amp;K5C697DCuadro de mando mensual · Plantilla gratuita de GymGym&amp;R&amp;"Arial,Regular"&amp;8 &amp;K5C697DPágina &amp;P de &amp;N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DD6C1"/>
    <pageSetUpPr fitToPage="1"/>
  </sheetPr>
  <dimension ref="B1:P39"/>
  <sheetViews>
    <sheetView showGridLines="0" workbookViewId="0">
      <pane xSplit="3" ySplit="8" topLeftCell="D9" activePane="bottomRight" state="frozen"/>
      <selection pane="topRight" activeCell="M18" sqref="M18"/>
      <selection pane="bottomLeft"/>
      <selection pane="bottomRight"/>
    </sheetView>
  </sheetViews>
  <sheetFormatPr baseColWidth="10" defaultColWidth="8.83203125" defaultRowHeight="15" x14ac:dyDescent="0.2"/>
  <cols>
    <col min="1" max="1" width="2.5" customWidth="1"/>
    <col min="2" max="2" width="38" customWidth="1"/>
    <col min="3" max="3" width="6" customWidth="1"/>
    <col min="4" max="15" width="10" customWidth="1"/>
    <col min="16" max="16" width="12" customWidth="1"/>
  </cols>
  <sheetData>
    <row r="1" spans="2:16" ht="30" customHeight="1" x14ac:dyDescent="0.2">
      <c r="B1" s="19" t="s">
        <v>65</v>
      </c>
    </row>
    <row r="2" spans="2:16" ht="20" customHeight="1" x14ac:dyDescent="0.2">
      <c r="B2" s="8" t="s">
        <v>66</v>
      </c>
    </row>
    <row r="3" spans="2:16" ht="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10" customHeight="1" x14ac:dyDescent="0.2"/>
    <row r="5" spans="2:16" ht="22" customHeight="1" x14ac:dyDescent="0.2">
      <c r="B5" s="46" t="str">
        <f>"Socios activos el 1 de enero de "&amp;Objetivos!$C$6</f>
        <v>Socios activos el 1 de enero de 2026</v>
      </c>
      <c r="C5" s="47" t="s">
        <v>67</v>
      </c>
      <c r="D5" s="48">
        <v>236</v>
      </c>
      <c r="E5" s="49" t="s">
        <v>68</v>
      </c>
    </row>
    <row r="6" spans="2:16" ht="10" customHeight="1" x14ac:dyDescent="0.2"/>
    <row r="7" spans="2:16" ht="24" customHeight="1" x14ac:dyDescent="0.2">
      <c r="B7" s="50" t="s">
        <v>69</v>
      </c>
      <c r="C7" s="51"/>
      <c r="D7" s="52" t="s">
        <v>70</v>
      </c>
      <c r="E7" s="52" t="s">
        <v>71</v>
      </c>
      <c r="F7" s="52" t="s">
        <v>72</v>
      </c>
      <c r="G7" s="52" t="s">
        <v>73</v>
      </c>
      <c r="H7" s="52" t="s">
        <v>74</v>
      </c>
      <c r="I7" s="52" t="s">
        <v>75</v>
      </c>
      <c r="J7" s="52" t="s">
        <v>76</v>
      </c>
      <c r="K7" s="52" t="s">
        <v>77</v>
      </c>
      <c r="L7" s="52" t="s">
        <v>78</v>
      </c>
      <c r="M7" s="52" t="s">
        <v>79</v>
      </c>
      <c r="N7" s="52" t="s">
        <v>80</v>
      </c>
      <c r="O7" s="52" t="s">
        <v>81</v>
      </c>
      <c r="P7" s="52" t="s">
        <v>82</v>
      </c>
    </row>
    <row r="8" spans="2:16" ht="20" customHeight="1" x14ac:dyDescent="0.2">
      <c r="B8" s="53" t="s">
        <v>83</v>
      </c>
      <c r="C8" s="54"/>
      <c r="D8" s="55" t="str">
        <f>IF(COUNT(D9:D34)=0,"Sin datos",IF(COUNT($D$5,D10:D27,D30:D34)&gt;=20,"Completo",IF(20-COUNT($D$5,D10:D27,D30:D34)=1,"Falta 1 dato","Faltan "&amp;(20-COUNT($D$5,D10:D27,D30:D34))&amp;" datos")))</f>
        <v>Completo</v>
      </c>
      <c r="E8" s="55" t="str">
        <f t="shared" ref="E8:O8" si="0">IF(COUNT(E9:E34)=0,"Sin datos",IF(COUNT(E10:E27,E30:E34)&gt;=19,"Completo",IF(19-COUNT(E10:E27,E30:E34)=1,"Falta 1 dato","Faltan "&amp;(19-COUNT(E10:E27,E30:E34))&amp;" datos")))</f>
        <v>Completo</v>
      </c>
      <c r="F8" s="55" t="str">
        <f t="shared" si="0"/>
        <v>Completo</v>
      </c>
      <c r="G8" s="55" t="str">
        <f t="shared" si="0"/>
        <v>Completo</v>
      </c>
      <c r="H8" s="55" t="str">
        <f t="shared" si="0"/>
        <v>Completo</v>
      </c>
      <c r="I8" s="55" t="str">
        <f t="shared" si="0"/>
        <v>Completo</v>
      </c>
      <c r="J8" s="55" t="str">
        <f t="shared" si="0"/>
        <v>Completo</v>
      </c>
      <c r="K8" s="55" t="str">
        <f t="shared" si="0"/>
        <v>Completo</v>
      </c>
      <c r="L8" s="55" t="str">
        <f t="shared" si="0"/>
        <v>Completo</v>
      </c>
      <c r="M8" s="55" t="str">
        <f t="shared" si="0"/>
        <v>Completo</v>
      </c>
      <c r="N8" s="55" t="str">
        <f t="shared" si="0"/>
        <v>Sin datos</v>
      </c>
      <c r="O8" s="55" t="str">
        <f t="shared" si="0"/>
        <v>Sin datos</v>
      </c>
      <c r="P8" s="56" t="str">
        <f>COUNTIF(D8:O8,"Completo")&amp;" de 12"</f>
        <v>10 de 12</v>
      </c>
    </row>
    <row r="9" spans="2:16" ht="20" customHeight="1" x14ac:dyDescent="0.2">
      <c r="B9" s="57" t="s">
        <v>84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</row>
    <row r="10" spans="2:16" ht="19" customHeight="1" x14ac:dyDescent="0.2">
      <c r="B10" s="59" t="s">
        <v>85</v>
      </c>
      <c r="C10" s="60" t="s">
        <v>67</v>
      </c>
      <c r="D10" s="61">
        <v>24</v>
      </c>
      <c r="E10" s="61">
        <v>15</v>
      </c>
      <c r="F10" s="61">
        <v>13</v>
      </c>
      <c r="G10" s="61">
        <v>11</v>
      </c>
      <c r="H10" s="61">
        <v>12</v>
      </c>
      <c r="I10" s="61">
        <v>9</v>
      </c>
      <c r="J10" s="61">
        <v>6</v>
      </c>
      <c r="K10" s="61">
        <v>5</v>
      </c>
      <c r="L10" s="61">
        <v>31</v>
      </c>
      <c r="M10" s="61">
        <v>18</v>
      </c>
      <c r="N10" s="61"/>
      <c r="O10" s="61"/>
      <c r="P10" s="62">
        <f>IF(COUNT(D10:O10)=0,"",SUM(D10:O10))</f>
        <v>144</v>
      </c>
    </row>
    <row r="11" spans="2:16" ht="19" customHeight="1" x14ac:dyDescent="0.2">
      <c r="B11" s="59" t="s">
        <v>86</v>
      </c>
      <c r="C11" s="60" t="s">
        <v>67</v>
      </c>
      <c r="D11" s="61">
        <v>9</v>
      </c>
      <c r="E11" s="61">
        <v>8</v>
      </c>
      <c r="F11" s="61">
        <v>9</v>
      </c>
      <c r="G11" s="61">
        <v>10</v>
      </c>
      <c r="H11" s="61">
        <v>11</v>
      </c>
      <c r="I11" s="61">
        <v>14</v>
      </c>
      <c r="J11" s="61">
        <v>19</v>
      </c>
      <c r="K11" s="61">
        <v>17</v>
      </c>
      <c r="L11" s="61">
        <v>8</v>
      </c>
      <c r="M11" s="61">
        <v>9</v>
      </c>
      <c r="N11" s="61"/>
      <c r="O11" s="61"/>
      <c r="P11" s="62">
        <f>IF(COUNT(D11:O11)=0,"",SUM(D11:O11))</f>
        <v>114</v>
      </c>
    </row>
    <row r="12" spans="2:16" ht="20" customHeight="1" x14ac:dyDescent="0.2">
      <c r="B12" s="57" t="s">
        <v>87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</row>
    <row r="13" spans="2:16" ht="19" customHeight="1" x14ac:dyDescent="0.2">
      <c r="B13" s="59" t="s">
        <v>88</v>
      </c>
      <c r="C13" s="60" t="s">
        <v>89</v>
      </c>
      <c r="D13" s="63">
        <v>11830</v>
      </c>
      <c r="E13" s="63">
        <v>12470</v>
      </c>
      <c r="F13" s="63">
        <v>12790</v>
      </c>
      <c r="G13" s="63">
        <v>12860</v>
      </c>
      <c r="H13" s="63">
        <v>12990</v>
      </c>
      <c r="I13" s="63">
        <v>12760</v>
      </c>
      <c r="J13" s="63">
        <v>11740</v>
      </c>
      <c r="K13" s="63">
        <v>10320</v>
      </c>
      <c r="L13" s="63">
        <v>11880</v>
      </c>
      <c r="M13" s="63">
        <v>12920</v>
      </c>
      <c r="N13" s="63"/>
      <c r="O13" s="63"/>
      <c r="P13" s="64">
        <f>IF(COUNT(D13:O13)=0,"",SUM(D13:O13))</f>
        <v>122560</v>
      </c>
    </row>
    <row r="14" spans="2:16" ht="19" customHeight="1" x14ac:dyDescent="0.2">
      <c r="B14" s="59" t="s">
        <v>90</v>
      </c>
      <c r="C14" s="60" t="s">
        <v>89</v>
      </c>
      <c r="D14" s="63">
        <v>980</v>
      </c>
      <c r="E14" s="63">
        <v>860</v>
      </c>
      <c r="F14" s="63">
        <v>920</v>
      </c>
      <c r="G14" s="63">
        <v>1040</v>
      </c>
      <c r="H14" s="63">
        <v>1010</v>
      </c>
      <c r="I14" s="63">
        <v>1180</v>
      </c>
      <c r="J14" s="63">
        <v>1320</v>
      </c>
      <c r="K14" s="63">
        <v>1250</v>
      </c>
      <c r="L14" s="63">
        <v>890</v>
      </c>
      <c r="M14" s="63">
        <v>940</v>
      </c>
      <c r="N14" s="63"/>
      <c r="O14" s="63"/>
      <c r="P14" s="64">
        <f>IF(COUNT(D14:O14)=0,"",SUM(D14:O14))</f>
        <v>10390</v>
      </c>
    </row>
    <row r="15" spans="2:16" ht="19" customHeight="1" x14ac:dyDescent="0.2">
      <c r="B15" s="59" t="s">
        <v>91</v>
      </c>
      <c r="C15" s="60" t="s">
        <v>89</v>
      </c>
      <c r="D15" s="63">
        <v>3120</v>
      </c>
      <c r="E15" s="63">
        <v>3280</v>
      </c>
      <c r="F15" s="63">
        <v>3350</v>
      </c>
      <c r="G15" s="63">
        <v>3200</v>
      </c>
      <c r="H15" s="63">
        <v>3410</v>
      </c>
      <c r="I15" s="63">
        <v>3150</v>
      </c>
      <c r="J15" s="63">
        <v>2480</v>
      </c>
      <c r="K15" s="63">
        <v>1960</v>
      </c>
      <c r="L15" s="63">
        <v>3290</v>
      </c>
      <c r="M15" s="63">
        <v>3560</v>
      </c>
      <c r="N15" s="63"/>
      <c r="O15" s="63"/>
      <c r="P15" s="64">
        <f>IF(COUNT(D15:O15)=0,"",SUM(D15:O15))</f>
        <v>30800</v>
      </c>
    </row>
    <row r="16" spans="2:16" ht="19" customHeight="1" x14ac:dyDescent="0.2">
      <c r="B16" s="59" t="s">
        <v>92</v>
      </c>
      <c r="C16" s="60" t="s">
        <v>89</v>
      </c>
      <c r="D16" s="63">
        <v>640</v>
      </c>
      <c r="E16" s="63">
        <v>480</v>
      </c>
      <c r="F16" s="63">
        <v>450</v>
      </c>
      <c r="G16" s="63">
        <v>420</v>
      </c>
      <c r="H16" s="63">
        <v>510</v>
      </c>
      <c r="I16" s="63">
        <v>560</v>
      </c>
      <c r="J16" s="63">
        <v>390</v>
      </c>
      <c r="K16" s="63">
        <v>310</v>
      </c>
      <c r="L16" s="63">
        <v>690</v>
      </c>
      <c r="M16" s="63">
        <v>540</v>
      </c>
      <c r="N16" s="63"/>
      <c r="O16" s="63"/>
      <c r="P16" s="64">
        <f>IF(COUNT(D16:O16)=0,"",SUM(D16:O16))</f>
        <v>4990</v>
      </c>
    </row>
    <row r="17" spans="2:16" ht="19" customHeight="1" x14ac:dyDescent="0.2">
      <c r="B17" s="59" t="s">
        <v>93</v>
      </c>
      <c r="C17" s="60" t="s">
        <v>89</v>
      </c>
      <c r="D17" s="63">
        <v>720</v>
      </c>
      <c r="E17" s="63">
        <v>410</v>
      </c>
      <c r="F17" s="63">
        <v>380</v>
      </c>
      <c r="G17" s="63">
        <v>290</v>
      </c>
      <c r="H17" s="63">
        <v>450</v>
      </c>
      <c r="I17" s="63">
        <v>320</v>
      </c>
      <c r="J17" s="63">
        <v>180</v>
      </c>
      <c r="K17" s="63">
        <v>150</v>
      </c>
      <c r="L17" s="63">
        <v>930</v>
      </c>
      <c r="M17" s="63">
        <v>560</v>
      </c>
      <c r="N17" s="63"/>
      <c r="O17" s="63"/>
      <c r="P17" s="64">
        <f>IF(COUNT(D17:O17)=0,"",SUM(D17:O17))</f>
        <v>4390</v>
      </c>
    </row>
    <row r="18" spans="2:16" ht="20" customHeight="1" x14ac:dyDescent="0.2">
      <c r="B18" s="57" t="s">
        <v>94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</row>
    <row r="19" spans="2:16" ht="19" customHeight="1" x14ac:dyDescent="0.2">
      <c r="B19" s="59" t="s">
        <v>95</v>
      </c>
      <c r="C19" s="60" t="s">
        <v>89</v>
      </c>
      <c r="D19" s="63">
        <v>7150</v>
      </c>
      <c r="E19" s="63">
        <v>7150</v>
      </c>
      <c r="F19" s="63">
        <v>7200</v>
      </c>
      <c r="G19" s="63">
        <v>7200</v>
      </c>
      <c r="H19" s="63">
        <v>7250</v>
      </c>
      <c r="I19" s="63">
        <v>7300</v>
      </c>
      <c r="J19" s="63">
        <v>7300</v>
      </c>
      <c r="K19" s="63">
        <v>6900</v>
      </c>
      <c r="L19" s="63">
        <v>7650</v>
      </c>
      <c r="M19" s="63">
        <v>8100</v>
      </c>
      <c r="N19" s="63"/>
      <c r="O19" s="63"/>
      <c r="P19" s="64">
        <f>IF(COUNT(D19:O19)=0,"",SUM(D19:O19))</f>
        <v>73200</v>
      </c>
    </row>
    <row r="20" spans="2:16" ht="19" customHeight="1" x14ac:dyDescent="0.2">
      <c r="B20" s="59" t="s">
        <v>96</v>
      </c>
      <c r="C20" s="60" t="s">
        <v>89</v>
      </c>
      <c r="D20" s="63">
        <v>3200</v>
      </c>
      <c r="E20" s="63">
        <v>3200</v>
      </c>
      <c r="F20" s="63">
        <v>3200</v>
      </c>
      <c r="G20" s="63">
        <v>3200</v>
      </c>
      <c r="H20" s="63">
        <v>3200</v>
      </c>
      <c r="I20" s="63">
        <v>3200</v>
      </c>
      <c r="J20" s="63">
        <v>3200</v>
      </c>
      <c r="K20" s="63">
        <v>3200</v>
      </c>
      <c r="L20" s="63">
        <v>3200</v>
      </c>
      <c r="M20" s="63">
        <v>3200</v>
      </c>
      <c r="N20" s="63"/>
      <c r="O20" s="63"/>
      <c r="P20" s="64">
        <f>IF(COUNT(D20:O20)=0,"",SUM(D20:O20))</f>
        <v>32000</v>
      </c>
    </row>
    <row r="21" spans="2:16" ht="19" customHeight="1" x14ac:dyDescent="0.2">
      <c r="B21" s="59" t="s">
        <v>97</v>
      </c>
      <c r="C21" s="60" t="s">
        <v>89</v>
      </c>
      <c r="D21" s="63">
        <v>1280</v>
      </c>
      <c r="E21" s="63">
        <v>1210</v>
      </c>
      <c r="F21" s="63">
        <v>1050</v>
      </c>
      <c r="G21" s="63">
        <v>930</v>
      </c>
      <c r="H21" s="63">
        <v>880</v>
      </c>
      <c r="I21" s="63">
        <v>1020</v>
      </c>
      <c r="J21" s="63">
        <v>1240</v>
      </c>
      <c r="K21" s="63">
        <v>1190</v>
      </c>
      <c r="L21" s="63">
        <v>960</v>
      </c>
      <c r="M21" s="63">
        <v>910</v>
      </c>
      <c r="N21" s="63"/>
      <c r="O21" s="63"/>
      <c r="P21" s="64">
        <f>IF(COUNT(D21:O21)=0,"",SUM(D21:O21))</f>
        <v>10670</v>
      </c>
    </row>
    <row r="22" spans="2:16" ht="19" customHeight="1" x14ac:dyDescent="0.2">
      <c r="B22" s="59" t="s">
        <v>98</v>
      </c>
      <c r="C22" s="60" t="s">
        <v>89</v>
      </c>
      <c r="D22" s="63">
        <v>1350</v>
      </c>
      <c r="E22" s="63">
        <v>750</v>
      </c>
      <c r="F22" s="63">
        <v>650</v>
      </c>
      <c r="G22" s="63">
        <v>600</v>
      </c>
      <c r="H22" s="63">
        <v>650</v>
      </c>
      <c r="I22" s="63">
        <v>550</v>
      </c>
      <c r="J22" s="63">
        <v>500</v>
      </c>
      <c r="K22" s="63">
        <v>950</v>
      </c>
      <c r="L22" s="63">
        <v>1650</v>
      </c>
      <c r="M22" s="63">
        <v>1150</v>
      </c>
      <c r="N22" s="63"/>
      <c r="O22" s="63"/>
      <c r="P22" s="64">
        <f>IF(COUNT(D22:O22)=0,"",SUM(D22:O22))</f>
        <v>8800</v>
      </c>
    </row>
    <row r="23" spans="2:16" ht="19" customHeight="1" x14ac:dyDescent="0.2">
      <c r="B23" s="59" t="s">
        <v>99</v>
      </c>
      <c r="C23" s="60" t="s">
        <v>89</v>
      </c>
      <c r="D23" s="63">
        <v>1650</v>
      </c>
      <c r="E23" s="63">
        <v>1580</v>
      </c>
      <c r="F23" s="63">
        <v>1600</v>
      </c>
      <c r="G23" s="63">
        <v>1720</v>
      </c>
      <c r="H23" s="63">
        <v>1610</v>
      </c>
      <c r="I23" s="63">
        <v>1640</v>
      </c>
      <c r="J23" s="63">
        <v>1590</v>
      </c>
      <c r="K23" s="63">
        <v>1560</v>
      </c>
      <c r="L23" s="63">
        <v>1700</v>
      </c>
      <c r="M23" s="63">
        <v>1680</v>
      </c>
      <c r="N23" s="63"/>
      <c r="O23" s="63"/>
      <c r="P23" s="64">
        <f>IF(COUNT(D23:O23)=0,"",SUM(D23:O23))</f>
        <v>16330</v>
      </c>
    </row>
    <row r="24" spans="2:16" ht="20" customHeight="1" x14ac:dyDescent="0.2">
      <c r="B24" s="57" t="s">
        <v>100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</row>
    <row r="25" spans="2:16" ht="19" customHeight="1" x14ac:dyDescent="0.2">
      <c r="B25" s="59" t="s">
        <v>101</v>
      </c>
      <c r="C25" s="60" t="s">
        <v>67</v>
      </c>
      <c r="D25" s="61">
        <v>92</v>
      </c>
      <c r="E25" s="61">
        <v>64</v>
      </c>
      <c r="F25" s="61">
        <v>58</v>
      </c>
      <c r="G25" s="61">
        <v>52</v>
      </c>
      <c r="H25" s="61">
        <v>55</v>
      </c>
      <c r="I25" s="61">
        <v>47</v>
      </c>
      <c r="J25" s="61">
        <v>33</v>
      </c>
      <c r="K25" s="61">
        <v>38</v>
      </c>
      <c r="L25" s="61">
        <v>118</v>
      </c>
      <c r="M25" s="61">
        <v>77</v>
      </c>
      <c r="N25" s="61"/>
      <c r="O25" s="61"/>
      <c r="P25" s="62">
        <f>IF(COUNT(D25:O25)=0,"",SUM(D25:O25))</f>
        <v>634</v>
      </c>
    </row>
    <row r="26" spans="2:16" ht="19" customHeight="1" x14ac:dyDescent="0.2">
      <c r="B26" s="59" t="s">
        <v>102</v>
      </c>
      <c r="C26" s="60" t="s">
        <v>67</v>
      </c>
      <c r="D26" s="61">
        <v>41</v>
      </c>
      <c r="E26" s="61">
        <v>28</v>
      </c>
      <c r="F26" s="61">
        <v>25</v>
      </c>
      <c r="G26" s="61">
        <v>22</v>
      </c>
      <c r="H26" s="61">
        <v>24</v>
      </c>
      <c r="I26" s="61">
        <v>19</v>
      </c>
      <c r="J26" s="61">
        <v>14</v>
      </c>
      <c r="K26" s="61">
        <v>12</v>
      </c>
      <c r="L26" s="61">
        <v>56</v>
      </c>
      <c r="M26" s="61">
        <v>35</v>
      </c>
      <c r="N26" s="61"/>
      <c r="O26" s="61"/>
      <c r="P26" s="62">
        <f>IF(COUNT(D26:O26)=0,"",SUM(D26:O26))</f>
        <v>276</v>
      </c>
    </row>
    <row r="27" spans="2:16" ht="19" customHeight="1" x14ac:dyDescent="0.2">
      <c r="B27" s="59" t="s">
        <v>103</v>
      </c>
      <c r="C27" s="60" t="s">
        <v>67</v>
      </c>
      <c r="D27" s="61">
        <v>18</v>
      </c>
      <c r="E27" s="61">
        <v>12</v>
      </c>
      <c r="F27" s="61">
        <v>10</v>
      </c>
      <c r="G27" s="61">
        <v>9</v>
      </c>
      <c r="H27" s="61">
        <v>9</v>
      </c>
      <c r="I27" s="61">
        <v>7</v>
      </c>
      <c r="J27" s="61">
        <v>4</v>
      </c>
      <c r="K27" s="61">
        <v>3</v>
      </c>
      <c r="L27" s="61">
        <v>25</v>
      </c>
      <c r="M27" s="61">
        <v>15</v>
      </c>
      <c r="N27" s="61"/>
      <c r="O27" s="61"/>
      <c r="P27" s="62">
        <f>IF(COUNT(D27:O27)=0,"",SUM(D27:O27))</f>
        <v>112</v>
      </c>
    </row>
    <row r="28" spans="2:16" ht="19" customHeight="1" x14ac:dyDescent="0.2">
      <c r="B28" s="59" t="s">
        <v>104</v>
      </c>
      <c r="C28" s="60" t="s">
        <v>89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4" t="str">
        <f>IF(COUNT(D28:O28)=0,"",SUM(D28:O28))</f>
        <v/>
      </c>
    </row>
    <row r="29" spans="2:16" ht="20" customHeight="1" x14ac:dyDescent="0.2">
      <c r="B29" s="57" t="s">
        <v>105</v>
      </c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</row>
    <row r="30" spans="2:16" ht="19" customHeight="1" x14ac:dyDescent="0.2">
      <c r="B30" s="59" t="s">
        <v>106</v>
      </c>
      <c r="C30" s="60" t="s">
        <v>67</v>
      </c>
      <c r="D30" s="61">
        <v>1960</v>
      </c>
      <c r="E30" s="61">
        <v>1880</v>
      </c>
      <c r="F30" s="61">
        <v>1960</v>
      </c>
      <c r="G30" s="61">
        <v>1820</v>
      </c>
      <c r="H30" s="61">
        <v>1960</v>
      </c>
      <c r="I30" s="61">
        <v>1880</v>
      </c>
      <c r="J30" s="61">
        <v>1600</v>
      </c>
      <c r="K30" s="61">
        <v>1400</v>
      </c>
      <c r="L30" s="61">
        <v>1960</v>
      </c>
      <c r="M30" s="61">
        <v>2000</v>
      </c>
      <c r="N30" s="61"/>
      <c r="O30" s="61"/>
      <c r="P30" s="62">
        <f>IF(COUNT(D30:O30)=0,"",SUM(D30:O30))</f>
        <v>18420</v>
      </c>
    </row>
    <row r="31" spans="2:16" ht="19" customHeight="1" x14ac:dyDescent="0.2">
      <c r="B31" s="59" t="s">
        <v>107</v>
      </c>
      <c r="C31" s="60" t="s">
        <v>67</v>
      </c>
      <c r="D31" s="61">
        <v>1450</v>
      </c>
      <c r="E31" s="61">
        <v>1390</v>
      </c>
      <c r="F31" s="61">
        <v>1410</v>
      </c>
      <c r="G31" s="61">
        <v>1250</v>
      </c>
      <c r="H31" s="61">
        <v>1330</v>
      </c>
      <c r="I31" s="61">
        <v>1200</v>
      </c>
      <c r="J31" s="61">
        <v>960</v>
      </c>
      <c r="K31" s="61">
        <v>740</v>
      </c>
      <c r="L31" s="61">
        <v>1530</v>
      </c>
      <c r="M31" s="61">
        <v>1500</v>
      </c>
      <c r="N31" s="61"/>
      <c r="O31" s="61"/>
      <c r="P31" s="62">
        <f>IF(COUNT(D31:O31)=0,"",SUM(D31:O31))</f>
        <v>12760</v>
      </c>
    </row>
    <row r="32" spans="2:16" ht="20" customHeight="1" x14ac:dyDescent="0.2">
      <c r="B32" s="57" t="s">
        <v>108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2:16" ht="19" customHeight="1" x14ac:dyDescent="0.2">
      <c r="B33" s="59" t="s">
        <v>109</v>
      </c>
      <c r="C33" s="60" t="s">
        <v>89</v>
      </c>
      <c r="D33" s="63">
        <v>14950</v>
      </c>
      <c r="E33" s="63">
        <v>15750</v>
      </c>
      <c r="F33" s="63">
        <v>16140</v>
      </c>
      <c r="G33" s="63">
        <v>16060</v>
      </c>
      <c r="H33" s="63">
        <v>16400</v>
      </c>
      <c r="I33" s="63">
        <v>15910</v>
      </c>
      <c r="J33" s="63">
        <v>14220</v>
      </c>
      <c r="K33" s="63">
        <v>12280</v>
      </c>
      <c r="L33" s="63">
        <v>15170</v>
      </c>
      <c r="M33" s="63">
        <v>16480</v>
      </c>
      <c r="N33" s="63"/>
      <c r="O33" s="63"/>
      <c r="P33" s="64">
        <f>IF(COUNT(D33:O33)=0,"",SUM(D33:O33))</f>
        <v>153360</v>
      </c>
    </row>
    <row r="34" spans="2:16" ht="19" customHeight="1" x14ac:dyDescent="0.2">
      <c r="B34" s="59" t="s">
        <v>57</v>
      </c>
      <c r="C34" s="60" t="s">
        <v>89</v>
      </c>
      <c r="D34" s="63">
        <v>310</v>
      </c>
      <c r="E34" s="63">
        <v>250</v>
      </c>
      <c r="F34" s="63">
        <v>310</v>
      </c>
      <c r="G34" s="63">
        <v>390</v>
      </c>
      <c r="H34" s="63">
        <v>1360</v>
      </c>
      <c r="I34" s="63">
        <v>410</v>
      </c>
      <c r="J34" s="63">
        <v>410</v>
      </c>
      <c r="K34" s="63">
        <v>440</v>
      </c>
      <c r="L34" s="63">
        <v>330</v>
      </c>
      <c r="M34" s="63">
        <v>300</v>
      </c>
      <c r="N34" s="63"/>
      <c r="O34" s="63"/>
      <c r="P34" s="64">
        <f>IF(COUNT(D34:O34)=0,"",SUM(D34:O34))</f>
        <v>4510</v>
      </c>
    </row>
    <row r="35" spans="2:16" ht="10" customHeight="1" x14ac:dyDescent="0.2"/>
    <row r="36" spans="2:16" ht="20" customHeight="1" x14ac:dyDescent="0.2">
      <c r="B36" s="57" t="s">
        <v>110</v>
      </c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</row>
    <row r="37" spans="2:16" ht="19" customHeight="1" x14ac:dyDescent="0.2">
      <c r="B37" s="65" t="s">
        <v>111</v>
      </c>
      <c r="C37" s="60" t="s">
        <v>89</v>
      </c>
      <c r="D37" s="66">
        <f t="shared" ref="D37:P37" si="1">IF(COUNT(D13:D17)=0,"",SUM(D13:D17))</f>
        <v>17290</v>
      </c>
      <c r="E37" s="66">
        <f t="shared" si="1"/>
        <v>17500</v>
      </c>
      <c r="F37" s="66">
        <f t="shared" si="1"/>
        <v>17890</v>
      </c>
      <c r="G37" s="66">
        <f t="shared" si="1"/>
        <v>17810</v>
      </c>
      <c r="H37" s="66">
        <f t="shared" si="1"/>
        <v>18370</v>
      </c>
      <c r="I37" s="66">
        <f t="shared" si="1"/>
        <v>17970</v>
      </c>
      <c r="J37" s="66">
        <f t="shared" si="1"/>
        <v>16110</v>
      </c>
      <c r="K37" s="66">
        <f t="shared" si="1"/>
        <v>13990</v>
      </c>
      <c r="L37" s="66">
        <f t="shared" si="1"/>
        <v>17680</v>
      </c>
      <c r="M37" s="66">
        <f t="shared" si="1"/>
        <v>18520</v>
      </c>
      <c r="N37" s="66" t="str">
        <f t="shared" si="1"/>
        <v/>
      </c>
      <c r="O37" s="66" t="str">
        <f t="shared" si="1"/>
        <v/>
      </c>
      <c r="P37" s="64">
        <f t="shared" si="1"/>
        <v>173130</v>
      </c>
    </row>
    <row r="38" spans="2:16" ht="19" customHeight="1" x14ac:dyDescent="0.2">
      <c r="B38" s="65" t="s">
        <v>112</v>
      </c>
      <c r="C38" s="60" t="s">
        <v>89</v>
      </c>
      <c r="D38" s="66">
        <f t="shared" ref="D38:P38" si="2">IF(COUNT(D19:D23)=0,"",SUM(D19:D23))</f>
        <v>14630</v>
      </c>
      <c r="E38" s="66">
        <f t="shared" si="2"/>
        <v>13890</v>
      </c>
      <c r="F38" s="66">
        <f t="shared" si="2"/>
        <v>13700</v>
      </c>
      <c r="G38" s="66">
        <f t="shared" si="2"/>
        <v>13650</v>
      </c>
      <c r="H38" s="66">
        <f t="shared" si="2"/>
        <v>13590</v>
      </c>
      <c r="I38" s="66">
        <f t="shared" si="2"/>
        <v>13710</v>
      </c>
      <c r="J38" s="66">
        <f t="shared" si="2"/>
        <v>13830</v>
      </c>
      <c r="K38" s="66">
        <f t="shared" si="2"/>
        <v>13800</v>
      </c>
      <c r="L38" s="66">
        <f t="shared" si="2"/>
        <v>15160</v>
      </c>
      <c r="M38" s="66">
        <f t="shared" si="2"/>
        <v>15040</v>
      </c>
      <c r="N38" s="66" t="str">
        <f t="shared" si="2"/>
        <v/>
      </c>
      <c r="O38" s="66" t="str">
        <f t="shared" si="2"/>
        <v/>
      </c>
      <c r="P38" s="64">
        <f t="shared" si="2"/>
        <v>141000</v>
      </c>
    </row>
    <row r="39" spans="2:16" ht="19" customHeight="1" x14ac:dyDescent="0.2">
      <c r="B39" s="65" t="s">
        <v>113</v>
      </c>
      <c r="C39" s="60" t="s">
        <v>89</v>
      </c>
      <c r="D39" s="67">
        <f t="shared" ref="D39:P39" si="3">IF(AND(ISNUMBER(D37),ISNUMBER(D38)),D37-D38,"")</f>
        <v>2660</v>
      </c>
      <c r="E39" s="67">
        <f t="shared" si="3"/>
        <v>3610</v>
      </c>
      <c r="F39" s="67">
        <f t="shared" si="3"/>
        <v>4190</v>
      </c>
      <c r="G39" s="67">
        <f t="shared" si="3"/>
        <v>4160</v>
      </c>
      <c r="H39" s="67">
        <f t="shared" si="3"/>
        <v>4780</v>
      </c>
      <c r="I39" s="67">
        <f t="shared" si="3"/>
        <v>4260</v>
      </c>
      <c r="J39" s="67">
        <f t="shared" si="3"/>
        <v>2280</v>
      </c>
      <c r="K39" s="67">
        <f t="shared" si="3"/>
        <v>190</v>
      </c>
      <c r="L39" s="67">
        <f t="shared" si="3"/>
        <v>2520</v>
      </c>
      <c r="M39" s="67">
        <f t="shared" si="3"/>
        <v>3480</v>
      </c>
      <c r="N39" s="67" t="str">
        <f t="shared" si="3"/>
        <v/>
      </c>
      <c r="O39" s="67" t="str">
        <f t="shared" si="3"/>
        <v/>
      </c>
      <c r="P39" s="67">
        <f t="shared" si="3"/>
        <v>32130</v>
      </c>
    </row>
  </sheetData>
  <conditionalFormatting sqref="D8:O8">
    <cfRule type="cellIs" dxfId="97" priority="1" operator="equal">
      <formula>"Completo"</formula>
    </cfRule>
    <cfRule type="expression" dxfId="96" priority="2">
      <formula>LEFT(D8,5)="Falta"</formula>
    </cfRule>
  </conditionalFormatting>
  <conditionalFormatting sqref="D39:P39">
    <cfRule type="expression" dxfId="95" priority="3">
      <formula>AND(ISNUMBER(D39),D39&lt;0)</formula>
    </cfRule>
  </conditionalFormatting>
  <dataValidations count="5">
    <dataValidation type="whole" operator="greaterThanOrEqual" allowBlank="1" showErrorMessage="1" errorTitle="Número entero" error="Escribe un número entero igual o mayor que 0 (sin puntos ni letras)." sqref="D5 D10:O10 D11:O11 D25:O25 D26:O26 D27:O27 D30:O30 D31:O31" xr:uid="{00000000-0002-0000-0200-000000000000}">
      <formula1>0</formula1>
    </dataValidation>
    <dataValidation type="decimal" operator="greaterThanOrEqual" allowBlank="1" showErrorMessage="1" errorTitle="Importe" error="Escribe el importe en euros, sin IVA y sin el signo €." sqref="D13:O13 D14:O14 D15:O15 D16:O16 D17:O17 D19:O19 D20:O20 D21:O21 D22:O22 D23:O23 D28:O28 D33:O33 D34:O34" xr:uid="{00000000-0002-0000-0200-000001000000}">
      <formula1>0</formula1>
    </dataValidation>
    <dataValidation type="custom" errorStyle="warning" allowBlank="1" showErrorMessage="1" errorTitle="Altas de prueba" error="Hay más altas que vienen de una prueba que pruebas. ¿Seguro?" sqref="D27:O27" xr:uid="{00000000-0002-0000-0200-000002000000}">
      <formula1>OR(D26="",D27&lt;=D26)</formula1>
    </dataValidation>
    <dataValidation type="custom" errorStyle="warning" allowBlank="1" showErrorMessage="1" errorTitle="Asistencias" error="Hay más asistencias que plazas ofertadas. ¿Seguro?" sqref="D31:O31" xr:uid="{00000000-0002-0000-0200-000003000000}">
      <formula1>OR(D30="",D31&lt;=D30)</formula1>
    </dataValidation>
    <dataValidation type="custom" errorStyle="warning" allowBlank="1" showErrorMessage="1" errorTitle="Impagado" error="Lo impagado es mayor que lo emitido. ¿Seguro?" sqref="D34:O34" xr:uid="{00000000-0002-0000-0200-000004000000}">
      <formula1>OR(D33="",D34&lt;=D33)</formula1>
    </dataValidation>
  </dataValidations>
  <printOptions horizontalCentered="1"/>
  <pageMargins left="0.4" right="0.4" top="0.6" bottom="0.55000000000000004" header="0.25" footer="0.25"/>
  <pageSetup paperSize="9" fitToHeight="0" orientation="landscape"/>
  <headerFooter>
    <oddHeader>&amp;L&amp;"Arial,Regular"&amp;8 &amp;K5C697D&amp;A&amp;R&amp;"Arial,Regular"&amp;8 &amp;K5C697Dgymgym.es/recursos</oddHeader>
    <oddFooter>&amp;L&amp;"Arial,Regular"&amp;8 &amp;K5C697DCuadro de mando mensual · Plantilla gratuita de GymGym&amp;R&amp;"Arial,Regular"&amp;8 &amp;K5C697DPágina &amp;P de &amp;N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A3CCF"/>
    <pageSetUpPr fitToPage="1"/>
  </sheetPr>
  <dimension ref="A1:AT48"/>
  <sheetViews>
    <sheetView showGridLines="0" workbookViewId="0">
      <selection activeCell="AH2" sqref="AH2"/>
    </sheetView>
  </sheetViews>
  <sheetFormatPr baseColWidth="10" defaultColWidth="8.83203125" defaultRowHeight="15" x14ac:dyDescent="0.2"/>
  <cols>
    <col min="1" max="1" width="2.1640625" customWidth="1"/>
    <col min="2" max="45" width="3.1640625" customWidth="1"/>
    <col min="46" max="46" width="2.1640625" customWidth="1"/>
  </cols>
  <sheetData>
    <row r="1" spans="1:46" ht="10" customHeight="1" x14ac:dyDescent="0.2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</row>
    <row r="2" spans="1:46" ht="32" customHeight="1" x14ac:dyDescent="0.25">
      <c r="A2" s="58"/>
      <c r="B2" s="167" t="str">
        <f>'Cálculos panel'!$C$12</f>
        <v>Cuadro de mando · octubre 2026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72" t="s">
        <v>114</v>
      </c>
      <c r="AD2" s="132"/>
      <c r="AE2" s="132"/>
      <c r="AF2" s="132"/>
      <c r="AG2" s="132"/>
      <c r="AH2" s="161" t="s">
        <v>115</v>
      </c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3"/>
      <c r="AT2" s="58"/>
    </row>
    <row r="3" spans="1:46" ht="18" customHeight="1" x14ac:dyDescent="0.2">
      <c r="A3" s="58"/>
      <c r="B3" s="166" t="str">
        <f>'Cálculos panel'!$C$13</f>
        <v>Centro de ejemplo   ·   Mes con todos los datos.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58"/>
      <c r="AD3" s="58"/>
      <c r="AE3" s="58"/>
      <c r="AF3" s="58"/>
      <c r="AG3" s="58"/>
      <c r="AH3" s="165" t="s">
        <v>116</v>
      </c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58"/>
    </row>
    <row r="4" spans="1:46" ht="6" customHeight="1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</row>
    <row r="5" spans="1:46" ht="4" customHeight="1" x14ac:dyDescent="0.2">
      <c r="A5" s="58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58"/>
    </row>
    <row r="6" spans="1:46" ht="10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</row>
    <row r="7" spans="1:46" ht="15" customHeight="1" x14ac:dyDescent="0.2">
      <c r="A7" s="58"/>
      <c r="B7" s="131" t="s">
        <v>117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58"/>
    </row>
    <row r="8" spans="1:46" ht="4" customHeight="1" x14ac:dyDescent="0.2">
      <c r="A8" s="58"/>
      <c r="B8" s="150"/>
      <c r="C8" s="151"/>
      <c r="D8" s="151"/>
      <c r="E8" s="151"/>
      <c r="F8" s="151"/>
      <c r="G8" s="151"/>
      <c r="H8" s="151"/>
      <c r="I8" s="152"/>
      <c r="J8" s="58"/>
      <c r="K8" s="136"/>
      <c r="L8" s="137"/>
      <c r="M8" s="137"/>
      <c r="N8" s="137"/>
      <c r="O8" s="137"/>
      <c r="P8" s="137"/>
      <c r="Q8" s="137"/>
      <c r="R8" s="138"/>
      <c r="S8" s="58"/>
      <c r="T8" s="136"/>
      <c r="U8" s="137"/>
      <c r="V8" s="137"/>
      <c r="W8" s="137"/>
      <c r="X8" s="137"/>
      <c r="Y8" s="137"/>
      <c r="Z8" s="137"/>
      <c r="AA8" s="138"/>
      <c r="AB8" s="58"/>
      <c r="AC8" s="136"/>
      <c r="AD8" s="137"/>
      <c r="AE8" s="137"/>
      <c r="AF8" s="137"/>
      <c r="AG8" s="137"/>
      <c r="AH8" s="137"/>
      <c r="AI8" s="137"/>
      <c r="AJ8" s="138"/>
      <c r="AK8" s="58"/>
      <c r="AL8" s="136"/>
      <c r="AM8" s="137"/>
      <c r="AN8" s="137"/>
      <c r="AO8" s="137"/>
      <c r="AP8" s="137"/>
      <c r="AQ8" s="137"/>
      <c r="AR8" s="137"/>
      <c r="AS8" s="138"/>
      <c r="AT8" s="58"/>
    </row>
    <row r="9" spans="1:46" ht="17" customHeight="1" x14ac:dyDescent="0.2">
      <c r="A9" s="58"/>
      <c r="B9" s="141" t="s">
        <v>118</v>
      </c>
      <c r="C9" s="134"/>
      <c r="D9" s="134"/>
      <c r="E9" s="134"/>
      <c r="F9" s="134"/>
      <c r="G9" s="134"/>
      <c r="H9" s="134"/>
      <c r="I9" s="140"/>
      <c r="J9" s="58"/>
      <c r="K9" s="141" t="s">
        <v>119</v>
      </c>
      <c r="L9" s="134"/>
      <c r="M9" s="134"/>
      <c r="N9" s="134"/>
      <c r="O9" s="134"/>
      <c r="P9" s="134"/>
      <c r="Q9" s="134"/>
      <c r="R9" s="140"/>
      <c r="S9" s="58"/>
      <c r="T9" s="141" t="s">
        <v>120</v>
      </c>
      <c r="U9" s="134"/>
      <c r="V9" s="134"/>
      <c r="W9" s="134"/>
      <c r="X9" s="134"/>
      <c r="Y9" s="134"/>
      <c r="Z9" s="134"/>
      <c r="AA9" s="140"/>
      <c r="AB9" s="58"/>
      <c r="AC9" s="141" t="s">
        <v>121</v>
      </c>
      <c r="AD9" s="134"/>
      <c r="AE9" s="134"/>
      <c r="AF9" s="134"/>
      <c r="AG9" s="134"/>
      <c r="AH9" s="134"/>
      <c r="AI9" s="134"/>
      <c r="AJ9" s="140"/>
      <c r="AK9" s="58"/>
      <c r="AL9" s="141" t="s">
        <v>122</v>
      </c>
      <c r="AM9" s="134"/>
      <c r="AN9" s="134"/>
      <c r="AO9" s="134"/>
      <c r="AP9" s="134"/>
      <c r="AQ9" s="134"/>
      <c r="AR9" s="134"/>
      <c r="AS9" s="140"/>
      <c r="AT9" s="58"/>
    </row>
    <row r="10" spans="1:46" ht="32" customHeight="1" x14ac:dyDescent="0.2">
      <c r="A10" s="58"/>
      <c r="B10" s="154">
        <f>IF(ISNUMBER('Cálculos panel'!C51),'Cálculos panel'!C51,"—")</f>
        <v>266</v>
      </c>
      <c r="C10" s="134"/>
      <c r="D10" s="134"/>
      <c r="E10" s="134"/>
      <c r="F10" s="134"/>
      <c r="G10" s="134"/>
      <c r="H10" s="134"/>
      <c r="I10" s="140"/>
      <c r="J10" s="58"/>
      <c r="K10" s="145">
        <f>IF(ISNUMBER('Cálculos panel'!C52),'Cálculos panel'!C52,"—")</f>
        <v>3.5019455252918288E-2</v>
      </c>
      <c r="L10" s="134"/>
      <c r="M10" s="134"/>
      <c r="N10" s="134"/>
      <c r="O10" s="134"/>
      <c r="P10" s="134"/>
      <c r="Q10" s="134"/>
      <c r="R10" s="140"/>
      <c r="S10" s="58"/>
      <c r="T10" s="145">
        <f>IF(ISNUMBER('Cálculos panel'!C53),'Cálculos panel'!C53,"—")</f>
        <v>0.42857142857142855</v>
      </c>
      <c r="U10" s="134"/>
      <c r="V10" s="134"/>
      <c r="W10" s="134"/>
      <c r="X10" s="134"/>
      <c r="Y10" s="134"/>
      <c r="Z10" s="134"/>
      <c r="AA10" s="140"/>
      <c r="AB10" s="58"/>
      <c r="AC10" s="170">
        <f>IF(ISNUMBER('Cálculos panel'!C54),'Cálculos panel'!C54,"—")</f>
        <v>63.888888888888886</v>
      </c>
      <c r="AD10" s="134"/>
      <c r="AE10" s="134"/>
      <c r="AF10" s="134"/>
      <c r="AG10" s="134"/>
      <c r="AH10" s="134"/>
      <c r="AI10" s="134"/>
      <c r="AJ10" s="140"/>
      <c r="AK10" s="58"/>
      <c r="AL10" s="157">
        <f>IF(ISNUMBER('Cálculos panel'!C55),'Cálculos panel'!C55,"—")</f>
        <v>5.9480256047884277</v>
      </c>
      <c r="AM10" s="134"/>
      <c r="AN10" s="134"/>
      <c r="AO10" s="134"/>
      <c r="AP10" s="134"/>
      <c r="AQ10" s="134"/>
      <c r="AR10" s="134"/>
      <c r="AS10" s="140"/>
      <c r="AT10" s="58"/>
    </row>
    <row r="11" spans="1:46" ht="16" customHeight="1" x14ac:dyDescent="0.2">
      <c r="A11" s="58"/>
      <c r="B11" s="164">
        <f>'Cálculos panel'!E51</f>
        <v>9</v>
      </c>
      <c r="C11" s="134"/>
      <c r="D11" s="134"/>
      <c r="E11" s="134"/>
      <c r="F11" s="148" t="str">
        <f>IF(ISNUMBER('Cálculos panel'!E51),"vs. "&amp;'Cálculos panel'!$C$10,IF('Cálculos panel'!$C$6=1,"primer mes del año",""))</f>
        <v>vs. sep.</v>
      </c>
      <c r="G11" s="134"/>
      <c r="H11" s="134"/>
      <c r="I11" s="140"/>
      <c r="J11" s="58"/>
      <c r="K11" s="147">
        <f>'Cálculos panel'!E52</f>
        <v>8.3142106488409695E-2</v>
      </c>
      <c r="L11" s="134"/>
      <c r="M11" s="134"/>
      <c r="N11" s="134"/>
      <c r="O11" s="148" t="str">
        <f>IF(ISNUMBER('Cálculos panel'!E52),"vs. "&amp;'Cálculos panel'!$C$10,IF('Cálculos panel'!$C$6=1,"primer mes del año",""))</f>
        <v>vs. sep.</v>
      </c>
      <c r="P11" s="134"/>
      <c r="Q11" s="134"/>
      <c r="R11" s="140"/>
      <c r="S11" s="58"/>
      <c r="T11" s="147">
        <f>'Cálculos panel'!E53</f>
        <v>-1.7857142857142905</v>
      </c>
      <c r="U11" s="134"/>
      <c r="V11" s="134"/>
      <c r="W11" s="134"/>
      <c r="X11" s="148" t="str">
        <f>IF(ISNUMBER('Cálculos panel'!E53),"vs. "&amp;'Cálculos panel'!$C$10,IF('Cálculos panel'!$C$6=1,"primer mes del año",""))</f>
        <v>vs. sep.</v>
      </c>
      <c r="Y11" s="134"/>
      <c r="Z11" s="134"/>
      <c r="AA11" s="140"/>
      <c r="AB11" s="58"/>
      <c r="AC11" s="158">
        <f>'Cálculos panel'!E54</f>
        <v>10.663082437275982</v>
      </c>
      <c r="AD11" s="134"/>
      <c r="AE11" s="134"/>
      <c r="AF11" s="134"/>
      <c r="AG11" s="148" t="str">
        <f>IF(ISNUMBER('Cálculos panel'!E54),"vs. "&amp;'Cálculos panel'!$C$10,IF('Cálculos panel'!$C$6=1,"primer mes del año",""))</f>
        <v>vs. sep.</v>
      </c>
      <c r="AH11" s="134"/>
      <c r="AI11" s="134"/>
      <c r="AJ11" s="140"/>
      <c r="AK11" s="58"/>
      <c r="AL11" s="153">
        <f>'Cálculos panel'!E55</f>
        <v>0.30707022615484192</v>
      </c>
      <c r="AM11" s="134"/>
      <c r="AN11" s="134"/>
      <c r="AO11" s="134"/>
      <c r="AP11" s="148" t="str">
        <f>IF(ISNUMBER('Cálculos panel'!E55),"vs. "&amp;'Cálculos panel'!$C$10,IF('Cálculos panel'!$C$6=1,"primer mes del año",""))</f>
        <v>vs. sep.</v>
      </c>
      <c r="AQ11" s="134"/>
      <c r="AR11" s="134"/>
      <c r="AS11" s="140"/>
      <c r="AT11" s="58"/>
    </row>
    <row r="12" spans="1:46" ht="19" customHeight="1" x14ac:dyDescent="0.2">
      <c r="A12" s="58"/>
      <c r="B12" s="159" t="str">
        <f>IF(ISNUMBER('Cálculos panel'!I51),'Cálculos panel'!I51&amp;" altas · "&amp;'Cálculos panel'!J51&amp;" bajas","")</f>
        <v>18 altas · 9 bajas</v>
      </c>
      <c r="C12" s="134"/>
      <c r="D12" s="134"/>
      <c r="E12" s="134"/>
      <c r="F12" s="134"/>
      <c r="G12" s="134"/>
      <c r="H12" s="134"/>
      <c r="I12" s="140"/>
      <c r="J12" s="58"/>
      <c r="K12" s="146" t="str">
        <f>'Cálculos panel'!F52</f>
        <v>En objetivo</v>
      </c>
      <c r="L12" s="134"/>
      <c r="M12" s="134"/>
      <c r="N12" s="134"/>
      <c r="O12" s="134"/>
      <c r="P12" s="149">
        <f>'Cálculos panel'!G52</f>
        <v>0.04</v>
      </c>
      <c r="Q12" s="134"/>
      <c r="R12" s="135"/>
      <c r="S12" s="58"/>
      <c r="T12" s="146" t="str">
        <f>'Cálculos panel'!F53</f>
        <v>En objetivo</v>
      </c>
      <c r="U12" s="134"/>
      <c r="V12" s="134"/>
      <c r="W12" s="134"/>
      <c r="X12" s="134"/>
      <c r="Y12" s="160">
        <f>'Cálculos panel'!G53</f>
        <v>0.4</v>
      </c>
      <c r="Z12" s="134"/>
      <c r="AA12" s="135"/>
      <c r="AB12" s="58"/>
      <c r="AC12" s="146" t="str">
        <f>'Cálculos panel'!F54</f>
        <v>En objetivo</v>
      </c>
      <c r="AD12" s="134"/>
      <c r="AE12" s="134"/>
      <c r="AF12" s="134"/>
      <c r="AG12" s="134"/>
      <c r="AH12" s="155">
        <f>'Cálculos panel'!G54</f>
        <v>70</v>
      </c>
      <c r="AI12" s="134"/>
      <c r="AJ12" s="135"/>
      <c r="AK12" s="58"/>
      <c r="AL12" s="146" t="str">
        <f>'Cálculos panel'!F55</f>
        <v>En objetivo</v>
      </c>
      <c r="AM12" s="134"/>
      <c r="AN12" s="134"/>
      <c r="AO12" s="134"/>
      <c r="AP12" s="134"/>
      <c r="AQ12" s="133">
        <f>'Cálculos panel'!G55</f>
        <v>3</v>
      </c>
      <c r="AR12" s="134"/>
      <c r="AS12" s="135"/>
      <c r="AT12" s="58"/>
    </row>
    <row r="13" spans="1:46" ht="6" customHeight="1" x14ac:dyDescent="0.2">
      <c r="A13" s="58"/>
      <c r="B13" s="68"/>
      <c r="C13" s="69"/>
      <c r="D13" s="69"/>
      <c r="E13" s="69"/>
      <c r="F13" s="69"/>
      <c r="G13" s="69"/>
      <c r="H13" s="69"/>
      <c r="I13" s="70"/>
      <c r="J13" s="58"/>
      <c r="K13" s="68"/>
      <c r="L13" s="69"/>
      <c r="M13" s="69"/>
      <c r="N13" s="69"/>
      <c r="O13" s="69"/>
      <c r="P13" s="69"/>
      <c r="Q13" s="69"/>
      <c r="R13" s="70"/>
      <c r="S13" s="58"/>
      <c r="T13" s="68"/>
      <c r="U13" s="69"/>
      <c r="V13" s="69"/>
      <c r="W13" s="69"/>
      <c r="X13" s="69"/>
      <c r="Y13" s="69"/>
      <c r="Z13" s="69"/>
      <c r="AA13" s="70"/>
      <c r="AB13" s="58"/>
      <c r="AC13" s="68"/>
      <c r="AD13" s="69"/>
      <c r="AE13" s="69"/>
      <c r="AF13" s="69"/>
      <c r="AG13" s="69"/>
      <c r="AH13" s="69"/>
      <c r="AI13" s="69"/>
      <c r="AJ13" s="70"/>
      <c r="AK13" s="58"/>
      <c r="AL13" s="68"/>
      <c r="AM13" s="69"/>
      <c r="AN13" s="69"/>
      <c r="AO13" s="69"/>
      <c r="AP13" s="69"/>
      <c r="AQ13" s="69"/>
      <c r="AR13" s="69"/>
      <c r="AS13" s="70"/>
      <c r="AT13" s="58"/>
    </row>
    <row r="14" spans="1:46" ht="10" customHeight="1" x14ac:dyDescent="0.2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</row>
    <row r="15" spans="1:46" ht="15" customHeight="1" x14ac:dyDescent="0.2">
      <c r="A15" s="58"/>
      <c r="B15" s="131" t="s">
        <v>123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58"/>
    </row>
    <row r="16" spans="1:46" ht="4" customHeight="1" x14ac:dyDescent="0.2">
      <c r="A16" s="58"/>
      <c r="B16" s="150"/>
      <c r="C16" s="151"/>
      <c r="D16" s="151"/>
      <c r="E16" s="151"/>
      <c r="F16" s="151"/>
      <c r="G16" s="151"/>
      <c r="H16" s="151"/>
      <c r="I16" s="152"/>
      <c r="J16" s="58"/>
      <c r="K16" s="136"/>
      <c r="L16" s="137"/>
      <c r="M16" s="137"/>
      <c r="N16" s="137"/>
      <c r="O16" s="137"/>
      <c r="P16" s="137"/>
      <c r="Q16" s="137"/>
      <c r="R16" s="138"/>
      <c r="S16" s="58"/>
      <c r="T16" s="136"/>
      <c r="U16" s="137"/>
      <c r="V16" s="137"/>
      <c r="W16" s="137"/>
      <c r="X16" s="137"/>
      <c r="Y16" s="137"/>
      <c r="Z16" s="137"/>
      <c r="AA16" s="138"/>
      <c r="AB16" s="58"/>
      <c r="AC16" s="136"/>
      <c r="AD16" s="137"/>
      <c r="AE16" s="137"/>
      <c r="AF16" s="137"/>
      <c r="AG16" s="137"/>
      <c r="AH16" s="137"/>
      <c r="AI16" s="137"/>
      <c r="AJ16" s="138"/>
      <c r="AK16" s="58"/>
      <c r="AL16" s="136"/>
      <c r="AM16" s="137"/>
      <c r="AN16" s="137"/>
      <c r="AO16" s="137"/>
      <c r="AP16" s="137"/>
      <c r="AQ16" s="137"/>
      <c r="AR16" s="137"/>
      <c r="AS16" s="138"/>
      <c r="AT16" s="58"/>
    </row>
    <row r="17" spans="1:46" ht="17" customHeight="1" x14ac:dyDescent="0.2">
      <c r="A17" s="58"/>
      <c r="B17" s="141" t="s">
        <v>124</v>
      </c>
      <c r="C17" s="134"/>
      <c r="D17" s="134"/>
      <c r="E17" s="134"/>
      <c r="F17" s="134"/>
      <c r="G17" s="134"/>
      <c r="H17" s="134"/>
      <c r="I17" s="140"/>
      <c r="J17" s="58"/>
      <c r="K17" s="141" t="s">
        <v>54</v>
      </c>
      <c r="L17" s="134"/>
      <c r="M17" s="134"/>
      <c r="N17" s="134"/>
      <c r="O17" s="134"/>
      <c r="P17" s="134"/>
      <c r="Q17" s="134"/>
      <c r="R17" s="140"/>
      <c r="S17" s="58"/>
      <c r="T17" s="141" t="s">
        <v>125</v>
      </c>
      <c r="U17" s="134"/>
      <c r="V17" s="134"/>
      <c r="W17" s="134"/>
      <c r="X17" s="134"/>
      <c r="Y17" s="134"/>
      <c r="Z17" s="134"/>
      <c r="AA17" s="140"/>
      <c r="AB17" s="58"/>
      <c r="AC17" s="141" t="s">
        <v>57</v>
      </c>
      <c r="AD17" s="134"/>
      <c r="AE17" s="134"/>
      <c r="AF17" s="134"/>
      <c r="AG17" s="134"/>
      <c r="AH17" s="134"/>
      <c r="AI17" s="134"/>
      <c r="AJ17" s="140"/>
      <c r="AK17" s="58"/>
      <c r="AL17" s="141" t="s">
        <v>58</v>
      </c>
      <c r="AM17" s="134"/>
      <c r="AN17" s="134"/>
      <c r="AO17" s="134"/>
      <c r="AP17" s="134"/>
      <c r="AQ17" s="134"/>
      <c r="AR17" s="134"/>
      <c r="AS17" s="140"/>
      <c r="AT17" s="58"/>
    </row>
    <row r="18" spans="1:46" ht="32" customHeight="1" x14ac:dyDescent="0.2">
      <c r="A18" s="58"/>
      <c r="B18" s="170">
        <f>IF(ISNUMBER('Cálculos panel'!C56),'Cálculos panel'!C56,"—")</f>
        <v>18520</v>
      </c>
      <c r="C18" s="134"/>
      <c r="D18" s="134"/>
      <c r="E18" s="134"/>
      <c r="F18" s="134"/>
      <c r="G18" s="134"/>
      <c r="H18" s="134"/>
      <c r="I18" s="140"/>
      <c r="J18" s="58"/>
      <c r="K18" s="145">
        <f>IF(ISNUMBER('Cálculos panel'!C57),'Cálculos panel'!C57,"—")</f>
        <v>0.18790496760259179</v>
      </c>
      <c r="L18" s="134"/>
      <c r="M18" s="134"/>
      <c r="N18" s="134"/>
      <c r="O18" s="134"/>
      <c r="P18" s="134"/>
      <c r="Q18" s="134"/>
      <c r="R18" s="140"/>
      <c r="S18" s="58"/>
      <c r="T18" s="145">
        <f>IF(ISNUMBER('Cálculos panel'!C58),'Cálculos panel'!C58,"—")</f>
        <v>0.43736501079913609</v>
      </c>
      <c r="U18" s="134"/>
      <c r="V18" s="134"/>
      <c r="W18" s="134"/>
      <c r="X18" s="134"/>
      <c r="Y18" s="134"/>
      <c r="Z18" s="134"/>
      <c r="AA18" s="140"/>
      <c r="AB18" s="58"/>
      <c r="AC18" s="145">
        <f>IF(ISNUMBER('Cálculos panel'!C59),'Cálculos panel'!C59,"—")</f>
        <v>1.820388349514563E-2</v>
      </c>
      <c r="AD18" s="134"/>
      <c r="AE18" s="134"/>
      <c r="AF18" s="134"/>
      <c r="AG18" s="134"/>
      <c r="AH18" s="134"/>
      <c r="AI18" s="134"/>
      <c r="AJ18" s="140"/>
      <c r="AK18" s="58"/>
      <c r="AL18" s="145">
        <f>IF(ISNUMBER('Cálculos panel'!C60),'Cálculos panel'!C60,"—")</f>
        <v>0.75</v>
      </c>
      <c r="AM18" s="134"/>
      <c r="AN18" s="134"/>
      <c r="AO18" s="134"/>
      <c r="AP18" s="134"/>
      <c r="AQ18" s="134"/>
      <c r="AR18" s="134"/>
      <c r="AS18" s="140"/>
      <c r="AT18" s="58"/>
    </row>
    <row r="19" spans="1:46" ht="16" customHeight="1" x14ac:dyDescent="0.2">
      <c r="A19" s="58"/>
      <c r="B19" s="171">
        <f>'Cálculos panel'!E56</f>
        <v>4.7511312217194623E-2</v>
      </c>
      <c r="C19" s="134"/>
      <c r="D19" s="134"/>
      <c r="E19" s="134"/>
      <c r="F19" s="148" t="str">
        <f>IF(ISNUMBER('Cálculos panel'!E56),"vs. "&amp;'Cálculos panel'!$C$10,IF('Cálculos panel'!$C$6=1,"primer mes del año",""))</f>
        <v>vs. sep.</v>
      </c>
      <c r="G19" s="134"/>
      <c r="H19" s="134"/>
      <c r="I19" s="140"/>
      <c r="J19" s="58"/>
      <c r="K19" s="147">
        <f>'Cálculos panel'!E57</f>
        <v>4.5371030951008082</v>
      </c>
      <c r="L19" s="134"/>
      <c r="M19" s="134"/>
      <c r="N19" s="134"/>
      <c r="O19" s="148" t="str">
        <f>IF(ISNUMBER('Cálculos panel'!E57),"vs. "&amp;'Cálculos panel'!$C$10,IF('Cálculos panel'!$C$6=1,"primer mes del año",""))</f>
        <v>vs. sep.</v>
      </c>
      <c r="P19" s="134"/>
      <c r="Q19" s="134"/>
      <c r="R19" s="140"/>
      <c r="S19" s="58"/>
      <c r="T19" s="147">
        <f>'Cálculos panel'!E58</f>
        <v>0.46727031068283797</v>
      </c>
      <c r="U19" s="134"/>
      <c r="V19" s="134"/>
      <c r="W19" s="134"/>
      <c r="X19" s="148" t="str">
        <f>IF(ISNUMBER('Cálculos panel'!E58),"vs. "&amp;'Cálculos panel'!$C$10,IF('Cálculos panel'!$C$6=1,"primer mes del año",""))</f>
        <v>vs. sep.</v>
      </c>
      <c r="Y19" s="134"/>
      <c r="Z19" s="134"/>
      <c r="AA19" s="140"/>
      <c r="AB19" s="58"/>
      <c r="AC19" s="147">
        <f>'Cálculos panel'!E59</f>
        <v>-0.35495772827053917</v>
      </c>
      <c r="AD19" s="134"/>
      <c r="AE19" s="134"/>
      <c r="AF19" s="134"/>
      <c r="AG19" s="148" t="str">
        <f>IF(ISNUMBER('Cálculos panel'!E59),"vs. "&amp;'Cálculos panel'!$C$10,IF('Cálculos panel'!$C$6=1,"primer mes del año",""))</f>
        <v>vs. sep.</v>
      </c>
      <c r="AH19" s="134"/>
      <c r="AI19" s="134"/>
      <c r="AJ19" s="140"/>
      <c r="AK19" s="58"/>
      <c r="AL19" s="147">
        <f>'Cálculos panel'!E60</f>
        <v>-3.0612244897959218</v>
      </c>
      <c r="AM19" s="134"/>
      <c r="AN19" s="134"/>
      <c r="AO19" s="134"/>
      <c r="AP19" s="148" t="str">
        <f>IF(ISNUMBER('Cálculos panel'!E60),"vs. "&amp;'Cálculos panel'!$C$10,IF('Cálculos panel'!$C$6=1,"primer mes del año",""))</f>
        <v>vs. sep.</v>
      </c>
      <c r="AQ19" s="134"/>
      <c r="AR19" s="134"/>
      <c r="AS19" s="140"/>
      <c r="AT19" s="58"/>
    </row>
    <row r="20" spans="1:46" ht="19" customHeight="1" x14ac:dyDescent="0.2">
      <c r="A20" s="58"/>
      <c r="B20" s="156">
        <f>'Cálculos panel'!I56</f>
        <v>3480</v>
      </c>
      <c r="C20" s="134"/>
      <c r="D20" s="134"/>
      <c r="E20" s="134"/>
      <c r="F20" s="134"/>
      <c r="G20" s="169">
        <f>'Cálculos panel'!J56</f>
        <v>70.822179732313572</v>
      </c>
      <c r="H20" s="134"/>
      <c r="I20" s="140"/>
      <c r="J20" s="58"/>
      <c r="K20" s="146" t="str">
        <f>'Cálculos panel'!F57</f>
        <v>En objetivo</v>
      </c>
      <c r="L20" s="134"/>
      <c r="M20" s="134"/>
      <c r="N20" s="134"/>
      <c r="O20" s="134"/>
      <c r="P20" s="160">
        <f>'Cálculos panel'!G57</f>
        <v>0.15</v>
      </c>
      <c r="Q20" s="134"/>
      <c r="R20" s="135"/>
      <c r="S20" s="58"/>
      <c r="T20" s="146" t="str">
        <f>'Cálculos panel'!F58</f>
        <v>Vigilar</v>
      </c>
      <c r="U20" s="134"/>
      <c r="V20" s="134"/>
      <c r="W20" s="134"/>
      <c r="X20" s="134"/>
      <c r="Y20" s="149">
        <f>'Cálculos panel'!G58</f>
        <v>0.42</v>
      </c>
      <c r="Z20" s="134"/>
      <c r="AA20" s="135"/>
      <c r="AB20" s="58"/>
      <c r="AC20" s="146" t="str">
        <f>'Cálculos panel'!F59</f>
        <v>En objetivo</v>
      </c>
      <c r="AD20" s="134"/>
      <c r="AE20" s="134"/>
      <c r="AF20" s="134"/>
      <c r="AG20" s="134"/>
      <c r="AH20" s="149">
        <f>'Cálculos panel'!G59</f>
        <v>0.03</v>
      </c>
      <c r="AI20" s="134"/>
      <c r="AJ20" s="135"/>
      <c r="AK20" s="58"/>
      <c r="AL20" s="146" t="str">
        <f>'Cálculos panel'!F60</f>
        <v>En objetivo</v>
      </c>
      <c r="AM20" s="134"/>
      <c r="AN20" s="134"/>
      <c r="AO20" s="134"/>
      <c r="AP20" s="134"/>
      <c r="AQ20" s="160">
        <f>'Cálculos panel'!G60</f>
        <v>0.65</v>
      </c>
      <c r="AR20" s="134"/>
      <c r="AS20" s="135"/>
      <c r="AT20" s="58"/>
    </row>
    <row r="21" spans="1:46" ht="6" customHeight="1" x14ac:dyDescent="0.2">
      <c r="A21" s="58"/>
      <c r="B21" s="68"/>
      <c r="C21" s="69"/>
      <c r="D21" s="69"/>
      <c r="E21" s="69"/>
      <c r="F21" s="69"/>
      <c r="G21" s="69"/>
      <c r="H21" s="69"/>
      <c r="I21" s="70"/>
      <c r="J21" s="58"/>
      <c r="K21" s="68"/>
      <c r="L21" s="69"/>
      <c r="M21" s="69"/>
      <c r="N21" s="69"/>
      <c r="O21" s="69"/>
      <c r="P21" s="69"/>
      <c r="Q21" s="69"/>
      <c r="R21" s="70"/>
      <c r="S21" s="58"/>
      <c r="T21" s="68"/>
      <c r="U21" s="69"/>
      <c r="V21" s="69"/>
      <c r="W21" s="69"/>
      <c r="X21" s="69"/>
      <c r="Y21" s="69"/>
      <c r="Z21" s="69"/>
      <c r="AA21" s="70"/>
      <c r="AB21" s="58"/>
      <c r="AC21" s="68"/>
      <c r="AD21" s="69"/>
      <c r="AE21" s="69"/>
      <c r="AF21" s="69"/>
      <c r="AG21" s="69"/>
      <c r="AH21" s="69"/>
      <c r="AI21" s="69"/>
      <c r="AJ21" s="70"/>
      <c r="AK21" s="58"/>
      <c r="AL21" s="68"/>
      <c r="AM21" s="69"/>
      <c r="AN21" s="69"/>
      <c r="AO21" s="69"/>
      <c r="AP21" s="69"/>
      <c r="AQ21" s="69"/>
      <c r="AR21" s="69"/>
      <c r="AS21" s="70"/>
      <c r="AT21" s="58"/>
    </row>
    <row r="22" spans="1:46" ht="12" customHeight="1" x14ac:dyDescent="0.2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</row>
    <row r="23" spans="1:46" ht="15" customHeight="1" x14ac:dyDescent="0.2">
      <c r="A23" s="58"/>
      <c r="B23" s="131" t="s">
        <v>126</v>
      </c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58"/>
    </row>
    <row r="24" spans="1:46" ht="19" customHeight="1" x14ac:dyDescent="0.2">
      <c r="A24" s="58"/>
      <c r="B24" s="142" t="s">
        <v>127</v>
      </c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4"/>
      <c r="P24" s="58"/>
      <c r="Q24" s="142" t="s">
        <v>128</v>
      </c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4"/>
      <c r="AE24" s="58"/>
      <c r="AF24" s="142" t="s">
        <v>119</v>
      </c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4"/>
      <c r="AT24" s="58"/>
    </row>
    <row r="25" spans="1:46" ht="13" customHeight="1" x14ac:dyDescent="0.2">
      <c r="A25" s="58"/>
      <c r="B25" s="139" t="s">
        <v>129</v>
      </c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40"/>
      <c r="P25" s="58"/>
      <c r="Q25" s="139" t="s">
        <v>130</v>
      </c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40"/>
      <c r="AE25" s="58"/>
      <c r="AF25" s="139" t="s">
        <v>131</v>
      </c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40"/>
      <c r="AT25" s="58"/>
    </row>
    <row r="26" spans="1:46" ht="15" customHeight="1" x14ac:dyDescent="0.2">
      <c r="A26" s="58"/>
      <c r="B26" s="71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3"/>
      <c r="P26" s="58"/>
      <c r="Q26" s="71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3"/>
      <c r="AE26" s="58"/>
      <c r="AF26" s="71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3"/>
      <c r="AT26" s="58"/>
    </row>
    <row r="27" spans="1:46" ht="15" customHeight="1" x14ac:dyDescent="0.2">
      <c r="A27" s="58"/>
      <c r="B27" s="71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3"/>
      <c r="P27" s="58"/>
      <c r="Q27" s="71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3"/>
      <c r="AE27" s="58"/>
      <c r="AF27" s="71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3"/>
      <c r="AT27" s="58"/>
    </row>
    <row r="28" spans="1:46" ht="15" customHeight="1" x14ac:dyDescent="0.2">
      <c r="A28" s="58"/>
      <c r="B28" s="71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3"/>
      <c r="P28" s="58"/>
      <c r="Q28" s="71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3"/>
      <c r="AE28" s="58"/>
      <c r="AF28" s="71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3"/>
      <c r="AT28" s="58"/>
    </row>
    <row r="29" spans="1:46" ht="15" customHeight="1" x14ac:dyDescent="0.2">
      <c r="A29" s="58"/>
      <c r="B29" s="71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3"/>
      <c r="P29" s="58"/>
      <c r="Q29" s="71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3"/>
      <c r="AE29" s="58"/>
      <c r="AF29" s="71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3"/>
      <c r="AT29" s="58"/>
    </row>
    <row r="30" spans="1:46" ht="15" customHeight="1" x14ac:dyDescent="0.2">
      <c r="A30" s="58"/>
      <c r="B30" s="71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3"/>
      <c r="P30" s="58"/>
      <c r="Q30" s="71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3"/>
      <c r="AE30" s="58"/>
      <c r="AF30" s="71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3"/>
      <c r="AT30" s="58"/>
    </row>
    <row r="31" spans="1:46" ht="15" customHeight="1" x14ac:dyDescent="0.2">
      <c r="A31" s="58"/>
      <c r="B31" s="71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3"/>
      <c r="P31" s="58"/>
      <c r="Q31" s="71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3"/>
      <c r="AE31" s="58"/>
      <c r="AF31" s="71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3"/>
      <c r="AT31" s="58"/>
    </row>
    <row r="32" spans="1:46" ht="15" customHeight="1" x14ac:dyDescent="0.2">
      <c r="A32" s="58"/>
      <c r="B32" s="71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3"/>
      <c r="P32" s="58"/>
      <c r="Q32" s="71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3"/>
      <c r="AE32" s="58"/>
      <c r="AF32" s="71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3"/>
      <c r="AT32" s="58"/>
    </row>
    <row r="33" spans="1:46" ht="15" customHeight="1" x14ac:dyDescent="0.2">
      <c r="A33" s="58"/>
      <c r="B33" s="68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70"/>
      <c r="P33" s="58"/>
      <c r="Q33" s="68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70"/>
      <c r="AE33" s="58"/>
      <c r="AF33" s="68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70"/>
      <c r="AT33" s="58"/>
    </row>
    <row r="34" spans="1:46" ht="10" customHeight="1" x14ac:dyDescent="0.2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</row>
    <row r="35" spans="1:46" ht="15" customHeight="1" x14ac:dyDescent="0.2">
      <c r="A35" s="58"/>
      <c r="B35" s="131" t="s">
        <v>132</v>
      </c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58"/>
    </row>
    <row r="36" spans="1:46" ht="19" customHeight="1" x14ac:dyDescent="0.2">
      <c r="A36" s="58"/>
      <c r="B36" s="142" t="s">
        <v>133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4"/>
      <c r="P36" s="58"/>
      <c r="Q36" s="142" t="str">
        <f>"Embudo de captación"&amp;IF('Cálculos panel'!$C$9="",""," · "&amp;'Cálculos panel'!$C$9)</f>
        <v>Embudo de captación · octubre</v>
      </c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4"/>
      <c r="AE36" s="58"/>
      <c r="AF36" s="142" t="str">
        <f>"Ingresos por línea"&amp;IF('Cálculos panel'!$C$9="",""," · "&amp;'Cálculos panel'!$C$9)</f>
        <v>Ingresos por línea · octubre</v>
      </c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4"/>
      <c r="AT36" s="58"/>
    </row>
    <row r="37" spans="1:46" ht="13" customHeight="1" x14ac:dyDescent="0.2">
      <c r="A37" s="58"/>
      <c r="B37" s="139" t="s">
        <v>134</v>
      </c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40"/>
      <c r="P37" s="58"/>
      <c r="Q37" s="139" t="s">
        <v>135</v>
      </c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40"/>
      <c r="AE37" s="58"/>
      <c r="AF37" s="139" t="s">
        <v>136</v>
      </c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40"/>
      <c r="AT37" s="58"/>
    </row>
    <row r="38" spans="1:46" ht="15" customHeight="1" x14ac:dyDescent="0.2">
      <c r="A38" s="58"/>
      <c r="B38" s="71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3"/>
      <c r="P38" s="58"/>
      <c r="Q38" s="71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3"/>
      <c r="AE38" s="58"/>
      <c r="AF38" s="71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3"/>
      <c r="AT38" s="58"/>
    </row>
    <row r="39" spans="1:46" ht="15" customHeight="1" x14ac:dyDescent="0.2">
      <c r="A39" s="58"/>
      <c r="B39" s="71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3"/>
      <c r="P39" s="58"/>
      <c r="Q39" s="71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3"/>
      <c r="AE39" s="58"/>
      <c r="AF39" s="71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3"/>
      <c r="AT39" s="58"/>
    </row>
    <row r="40" spans="1:46" ht="15" customHeight="1" x14ac:dyDescent="0.2">
      <c r="A40" s="58"/>
      <c r="B40" s="71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3"/>
      <c r="P40" s="58"/>
      <c r="Q40" s="71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3"/>
      <c r="AE40" s="58"/>
      <c r="AF40" s="71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3"/>
      <c r="AT40" s="58"/>
    </row>
    <row r="41" spans="1:46" ht="15" customHeight="1" x14ac:dyDescent="0.2">
      <c r="A41" s="58"/>
      <c r="B41" s="71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3"/>
      <c r="P41" s="58"/>
      <c r="Q41" s="71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3"/>
      <c r="AE41" s="58"/>
      <c r="AF41" s="71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3"/>
      <c r="AT41" s="58"/>
    </row>
    <row r="42" spans="1:46" ht="15" customHeight="1" x14ac:dyDescent="0.2">
      <c r="A42" s="58"/>
      <c r="B42" s="71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3"/>
      <c r="P42" s="58"/>
      <c r="Q42" s="71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3"/>
      <c r="AE42" s="58"/>
      <c r="AF42" s="71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3"/>
      <c r="AT42" s="58"/>
    </row>
    <row r="43" spans="1:46" ht="15" customHeight="1" x14ac:dyDescent="0.2">
      <c r="A43" s="58"/>
      <c r="B43" s="71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3"/>
      <c r="P43" s="58"/>
      <c r="Q43" s="71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3"/>
      <c r="AE43" s="58"/>
      <c r="AF43" s="71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3"/>
      <c r="AT43" s="58"/>
    </row>
    <row r="44" spans="1:46" ht="15" customHeight="1" x14ac:dyDescent="0.2">
      <c r="A44" s="58"/>
      <c r="B44" s="71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3"/>
      <c r="P44" s="58"/>
      <c r="Q44" s="71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3"/>
      <c r="AE44" s="58"/>
      <c r="AF44" s="71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3"/>
      <c r="AT44" s="58"/>
    </row>
    <row r="45" spans="1:46" ht="15" customHeight="1" x14ac:dyDescent="0.2">
      <c r="A45" s="58"/>
      <c r="B45" s="68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70"/>
      <c r="P45" s="58"/>
      <c r="Q45" s="68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70"/>
      <c r="AE45" s="58"/>
      <c r="AF45" s="68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70"/>
      <c r="AT45" s="58"/>
    </row>
    <row r="46" spans="1:46" ht="10" customHeight="1" x14ac:dyDescent="0.2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</row>
    <row r="47" spans="1:46" ht="16" customHeight="1" x14ac:dyDescent="0.2">
      <c r="A47" s="58"/>
      <c r="B47" s="168" t="s">
        <v>137</v>
      </c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58"/>
    </row>
    <row r="48" spans="1:46" ht="6" customHeight="1" x14ac:dyDescent="0.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</row>
  </sheetData>
  <mergeCells count="91">
    <mergeCell ref="AC2:AG2"/>
    <mergeCell ref="K10:R10"/>
    <mergeCell ref="K18:R18"/>
    <mergeCell ref="F11:I11"/>
    <mergeCell ref="T10:AA10"/>
    <mergeCell ref="AL16:AS16"/>
    <mergeCell ref="AF25:AS25"/>
    <mergeCell ref="T12:X12"/>
    <mergeCell ref="AL18:AS18"/>
    <mergeCell ref="AL12:AP12"/>
    <mergeCell ref="AG11:AJ11"/>
    <mergeCell ref="AQ20:AS20"/>
    <mergeCell ref="B24:O24"/>
    <mergeCell ref="B47:AS47"/>
    <mergeCell ref="O19:R19"/>
    <mergeCell ref="G20:I20"/>
    <mergeCell ref="T9:AA9"/>
    <mergeCell ref="AC8:AJ8"/>
    <mergeCell ref="K11:N11"/>
    <mergeCell ref="B23:AS23"/>
    <mergeCell ref="AC10:AJ10"/>
    <mergeCell ref="K17:R17"/>
    <mergeCell ref="Q36:AD36"/>
    <mergeCell ref="B19:E19"/>
    <mergeCell ref="B36:O36"/>
    <mergeCell ref="AC17:AJ17"/>
    <mergeCell ref="AF36:AS36"/>
    <mergeCell ref="B16:I16"/>
    <mergeCell ref="B35:AS35"/>
    <mergeCell ref="AH2:AS2"/>
    <mergeCell ref="K12:O12"/>
    <mergeCell ref="AC20:AG20"/>
    <mergeCell ref="B11:E11"/>
    <mergeCell ref="X19:AA19"/>
    <mergeCell ref="P20:R20"/>
    <mergeCell ref="AP19:AS19"/>
    <mergeCell ref="AC9:AJ9"/>
    <mergeCell ref="AH3:AS3"/>
    <mergeCell ref="T16:AA16"/>
    <mergeCell ref="B3:AB3"/>
    <mergeCell ref="T11:W11"/>
    <mergeCell ref="T18:AA18"/>
    <mergeCell ref="AH20:AJ20"/>
    <mergeCell ref="AP11:AS11"/>
    <mergeCell ref="B2:AB2"/>
    <mergeCell ref="B7:AS7"/>
    <mergeCell ref="AL19:AO19"/>
    <mergeCell ref="X11:AA11"/>
    <mergeCell ref="P12:R12"/>
    <mergeCell ref="B8:I8"/>
    <mergeCell ref="B17:I17"/>
    <mergeCell ref="AL11:AO11"/>
    <mergeCell ref="B10:I10"/>
    <mergeCell ref="K8:R8"/>
    <mergeCell ref="AH12:AJ12"/>
    <mergeCell ref="T8:AA8"/>
    <mergeCell ref="B9:I9"/>
    <mergeCell ref="AL8:AS8"/>
    <mergeCell ref="T17:AA17"/>
    <mergeCell ref="AL17:AS17"/>
    <mergeCell ref="AL10:AS10"/>
    <mergeCell ref="AF37:AS37"/>
    <mergeCell ref="Q37:AD37"/>
    <mergeCell ref="K9:R9"/>
    <mergeCell ref="AF24:AS24"/>
    <mergeCell ref="AC18:AJ18"/>
    <mergeCell ref="AC12:AG12"/>
    <mergeCell ref="B37:O37"/>
    <mergeCell ref="B20:F20"/>
    <mergeCell ref="AL20:AP20"/>
    <mergeCell ref="AC19:AF19"/>
    <mergeCell ref="AG19:AJ19"/>
    <mergeCell ref="Y20:AA20"/>
    <mergeCell ref="AL9:AS9"/>
    <mergeCell ref="T20:X20"/>
    <mergeCell ref="O11:R11"/>
    <mergeCell ref="AC11:AF11"/>
    <mergeCell ref="B15:AS15"/>
    <mergeCell ref="AQ12:AS12"/>
    <mergeCell ref="K16:R16"/>
    <mergeCell ref="AC16:AJ16"/>
    <mergeCell ref="B25:O25"/>
    <mergeCell ref="B12:I12"/>
    <mergeCell ref="K20:O20"/>
    <mergeCell ref="Y12:AA12"/>
    <mergeCell ref="F19:I19"/>
    <mergeCell ref="Q25:AD25"/>
    <mergeCell ref="Q24:AD24"/>
    <mergeCell ref="K19:N19"/>
    <mergeCell ref="T19:W19"/>
    <mergeCell ref="B18:I18"/>
  </mergeCells>
  <conditionalFormatting sqref="B11:E11">
    <cfRule type="expression" dxfId="94" priority="1">
      <formula>AND(ISNUMBER(B11),B11&gt;0)</formula>
    </cfRule>
    <cfRule type="expression" dxfId="93" priority="2">
      <formula>AND(ISNUMBER(B11),B11&lt;0)</formula>
    </cfRule>
  </conditionalFormatting>
  <conditionalFormatting sqref="B19:E19">
    <cfRule type="expression" dxfId="92" priority="35">
      <formula>AND(ISNUMBER(B19),B19&gt;0)</formula>
    </cfRule>
    <cfRule type="expression" dxfId="91" priority="36">
      <formula>AND(ISNUMBER(B19),B19&lt;0)</formula>
    </cfRule>
  </conditionalFormatting>
  <conditionalFormatting sqref="B20:F20">
    <cfRule type="expression" dxfId="90" priority="37">
      <formula>AND(ISNUMBER(B20),B20&lt;0)</formula>
    </cfRule>
  </conditionalFormatting>
  <conditionalFormatting sqref="K11:N11">
    <cfRule type="expression" dxfId="89" priority="4">
      <formula>AND(ISNUMBER(K11),K11&lt;0)</formula>
    </cfRule>
    <cfRule type="expression" dxfId="88" priority="3">
      <formula>AND(ISNUMBER(K11),K11&gt;0)</formula>
    </cfRule>
  </conditionalFormatting>
  <conditionalFormatting sqref="K19:N19">
    <cfRule type="expression" dxfId="87" priority="39">
      <formula>AND(ISNUMBER(K19),K19&lt;0)</formula>
    </cfRule>
    <cfRule type="expression" dxfId="86" priority="38">
      <formula>AND(ISNUMBER(K19),K19&gt;0)</formula>
    </cfRule>
  </conditionalFormatting>
  <conditionalFormatting sqref="K12:O12">
    <cfRule type="cellIs" dxfId="85" priority="7" operator="equal">
      <formula>"Fuera de objetivo"</formula>
    </cfRule>
    <cfRule type="cellIs" dxfId="84" priority="5" operator="equal">
      <formula>"En objetivo"</formula>
    </cfRule>
    <cfRule type="cellIs" dxfId="83" priority="6" operator="equal">
      <formula>"Vigilar"</formula>
    </cfRule>
  </conditionalFormatting>
  <conditionalFormatting sqref="K20:O20">
    <cfRule type="cellIs" dxfId="82" priority="42" operator="equal">
      <formula>"Fuera de objetivo"</formula>
    </cfRule>
    <cfRule type="cellIs" dxfId="81" priority="41" operator="equal">
      <formula>"Vigilar"</formula>
    </cfRule>
    <cfRule type="cellIs" dxfId="80" priority="40" operator="equal">
      <formula>"En objetivo"</formula>
    </cfRule>
  </conditionalFormatting>
  <conditionalFormatting sqref="K8:R8">
    <cfRule type="expression" dxfId="79" priority="10">
      <formula>$K$12="Fuera de objetivo"</formula>
    </cfRule>
    <cfRule type="expression" dxfId="78" priority="8">
      <formula>$K$12="En objetivo"</formula>
    </cfRule>
    <cfRule type="expression" dxfId="77" priority="9">
      <formula>$K$12="Vigilar"</formula>
    </cfRule>
  </conditionalFormatting>
  <conditionalFormatting sqref="K16:R16">
    <cfRule type="expression" dxfId="76" priority="45">
      <formula>$K$20="Fuera de objetivo"</formula>
    </cfRule>
    <cfRule type="expression" dxfId="75" priority="44">
      <formula>$K$20="Vigilar"</formula>
    </cfRule>
    <cfRule type="expression" dxfId="74" priority="43">
      <formula>$K$20="En objetivo"</formula>
    </cfRule>
  </conditionalFormatting>
  <conditionalFormatting sqref="T11:W11">
    <cfRule type="expression" dxfId="73" priority="11">
      <formula>AND(ISNUMBER(T11),T11&gt;0)</formula>
    </cfRule>
    <cfRule type="expression" dxfId="72" priority="12">
      <formula>AND(ISNUMBER(T11),T11&lt;0)</formula>
    </cfRule>
  </conditionalFormatting>
  <conditionalFormatting sqref="T19:W19">
    <cfRule type="expression" dxfId="71" priority="47">
      <formula>AND(ISNUMBER(T19),T19&lt;0)</formula>
    </cfRule>
    <cfRule type="expression" dxfId="70" priority="46">
      <formula>AND(ISNUMBER(T19),T19&gt;0)</formula>
    </cfRule>
  </conditionalFormatting>
  <conditionalFormatting sqref="T12:X12">
    <cfRule type="cellIs" dxfId="69" priority="15" operator="equal">
      <formula>"Fuera de objetivo"</formula>
    </cfRule>
    <cfRule type="cellIs" dxfId="68" priority="13" operator="equal">
      <formula>"En objetivo"</formula>
    </cfRule>
    <cfRule type="cellIs" dxfId="67" priority="14" operator="equal">
      <formula>"Vigilar"</formula>
    </cfRule>
  </conditionalFormatting>
  <conditionalFormatting sqref="T20:X20">
    <cfRule type="cellIs" dxfId="66" priority="50" operator="equal">
      <formula>"Fuera de objetivo"</formula>
    </cfRule>
    <cfRule type="cellIs" dxfId="65" priority="49" operator="equal">
      <formula>"Vigilar"</formula>
    </cfRule>
    <cfRule type="cellIs" dxfId="64" priority="48" operator="equal">
      <formula>"En objetivo"</formula>
    </cfRule>
  </conditionalFormatting>
  <conditionalFormatting sqref="T8:AA8">
    <cfRule type="expression" dxfId="63" priority="18">
      <formula>$T$12="Fuera de objetivo"</formula>
    </cfRule>
    <cfRule type="expression" dxfId="62" priority="17">
      <formula>$T$12="Vigilar"</formula>
    </cfRule>
    <cfRule type="expression" dxfId="61" priority="16">
      <formula>$T$12="En objetivo"</formula>
    </cfRule>
  </conditionalFormatting>
  <conditionalFormatting sqref="T16:AA16">
    <cfRule type="expression" dxfId="60" priority="53">
      <formula>$T$20="Fuera de objetivo"</formula>
    </cfRule>
    <cfRule type="expression" dxfId="59" priority="52">
      <formula>$T$20="Vigilar"</formula>
    </cfRule>
    <cfRule type="expression" dxfId="58" priority="51">
      <formula>$T$20="En objetivo"</formula>
    </cfRule>
  </conditionalFormatting>
  <conditionalFormatting sqref="AC11:AF11">
    <cfRule type="expression" dxfId="57" priority="20">
      <formula>AND(ISNUMBER(AC11),AC11&lt;0)</formula>
    </cfRule>
    <cfRule type="expression" dxfId="56" priority="19">
      <formula>AND(ISNUMBER(AC11),AC11&gt;0)</formula>
    </cfRule>
  </conditionalFormatting>
  <conditionalFormatting sqref="AC19:AF19">
    <cfRule type="expression" dxfId="55" priority="55">
      <formula>AND(ISNUMBER(AC19),AC19&lt;0)</formula>
    </cfRule>
    <cfRule type="expression" dxfId="54" priority="54">
      <formula>AND(ISNUMBER(AC19),AC19&gt;0)</formula>
    </cfRule>
  </conditionalFormatting>
  <conditionalFormatting sqref="AC12:AG12">
    <cfRule type="cellIs" dxfId="53" priority="23" operator="equal">
      <formula>"Fuera de objetivo"</formula>
    </cfRule>
    <cfRule type="cellIs" dxfId="52" priority="21" operator="equal">
      <formula>"En objetivo"</formula>
    </cfRule>
    <cfRule type="cellIs" dxfId="51" priority="22" operator="equal">
      <formula>"Vigilar"</formula>
    </cfRule>
  </conditionalFormatting>
  <conditionalFormatting sqref="AC20:AG20">
    <cfRule type="cellIs" dxfId="50" priority="56" operator="equal">
      <formula>"En objetivo"</formula>
    </cfRule>
    <cfRule type="cellIs" dxfId="49" priority="57" operator="equal">
      <formula>"Vigilar"</formula>
    </cfRule>
    <cfRule type="cellIs" dxfId="48" priority="58" operator="equal">
      <formula>"Fuera de objetivo"</formula>
    </cfRule>
  </conditionalFormatting>
  <conditionalFormatting sqref="AC8:AJ8">
    <cfRule type="expression" dxfId="47" priority="26">
      <formula>$AC$12="Fuera de objetivo"</formula>
    </cfRule>
    <cfRule type="expression" dxfId="46" priority="25">
      <formula>$AC$12="Vigilar"</formula>
    </cfRule>
    <cfRule type="expression" dxfId="45" priority="24">
      <formula>$AC$12="En objetivo"</formula>
    </cfRule>
  </conditionalFormatting>
  <conditionalFormatting sqref="AC16:AJ16">
    <cfRule type="expression" dxfId="44" priority="59">
      <formula>$AC$20="En objetivo"</formula>
    </cfRule>
    <cfRule type="expression" dxfId="43" priority="60">
      <formula>$AC$20="Vigilar"</formula>
    </cfRule>
    <cfRule type="expression" dxfId="42" priority="61">
      <formula>$AC$20="Fuera de objetivo"</formula>
    </cfRule>
  </conditionalFormatting>
  <conditionalFormatting sqref="AL11:AO11">
    <cfRule type="expression" dxfId="41" priority="28">
      <formula>AND(ISNUMBER(AL11),AL11&lt;0)</formula>
    </cfRule>
    <cfRule type="expression" dxfId="40" priority="27">
      <formula>AND(ISNUMBER(AL11),AL11&gt;0)</formula>
    </cfRule>
  </conditionalFormatting>
  <conditionalFormatting sqref="AL19:AO19">
    <cfRule type="expression" dxfId="39" priority="62">
      <formula>AND(ISNUMBER(AL19),AL19&gt;0)</formula>
    </cfRule>
    <cfRule type="expression" dxfId="38" priority="63">
      <formula>AND(ISNUMBER(AL19),AL19&lt;0)</formula>
    </cfRule>
  </conditionalFormatting>
  <conditionalFormatting sqref="AL12:AP12">
    <cfRule type="cellIs" dxfId="37" priority="31" operator="equal">
      <formula>"Fuera de objetivo"</formula>
    </cfRule>
    <cfRule type="cellIs" dxfId="36" priority="30" operator="equal">
      <formula>"Vigilar"</formula>
    </cfRule>
    <cfRule type="cellIs" dxfId="35" priority="29" operator="equal">
      <formula>"En objetivo"</formula>
    </cfRule>
  </conditionalFormatting>
  <conditionalFormatting sqref="AL20:AP20">
    <cfRule type="cellIs" dxfId="34" priority="64" operator="equal">
      <formula>"En objetivo"</formula>
    </cfRule>
    <cfRule type="cellIs" dxfId="33" priority="66" operator="equal">
      <formula>"Fuera de objetivo"</formula>
    </cfRule>
    <cfRule type="cellIs" dxfId="32" priority="65" operator="equal">
      <formula>"Vigilar"</formula>
    </cfRule>
  </conditionalFormatting>
  <conditionalFormatting sqref="AL8:AS8">
    <cfRule type="expression" dxfId="31" priority="33">
      <formula>$AL$12="Vigilar"</formula>
    </cfRule>
    <cfRule type="expression" dxfId="30" priority="34">
      <formula>$AL$12="Fuera de objetivo"</formula>
    </cfRule>
    <cfRule type="expression" dxfId="29" priority="32">
      <formula>$AL$12="En objetivo"</formula>
    </cfRule>
  </conditionalFormatting>
  <conditionalFormatting sqref="AL16:AS16">
    <cfRule type="expression" dxfId="28" priority="67">
      <formula>$AL$20="En objetivo"</formula>
    </cfRule>
    <cfRule type="expression" dxfId="27" priority="68">
      <formula>$AL$20="Vigilar"</formula>
    </cfRule>
    <cfRule type="expression" dxfId="26" priority="69">
      <formula>$AL$20="Fuera de objetivo"</formula>
    </cfRule>
  </conditionalFormatting>
  <dataValidations count="1">
    <dataValidation type="list" showErrorMessage="1" errorTitle="Mes" error="Elige un mes de la lista." sqref="AH2" xr:uid="{00000000-0002-0000-0300-000000000000}">
      <formula1>"Último mes con datos,Enero,Febrero,Marzo,Abril,Mayo,Junio,Julio,Agosto,Septiembre,Octubre,Noviembre,Diciembre"</formula1>
    </dataValidation>
  </dataValidations>
  <printOptions horizontalCentered="1" verticalCentered="1"/>
  <pageMargins left="0.3" right="0.3" top="0.5" bottom="0.45" header="0.2" footer="0.2"/>
  <pageSetup paperSize="9" orientation="landscape"/>
  <headerFooter>
    <oddHeader>&amp;L&amp;"Arial,Regular"&amp;8 &amp;K5C697D&amp;A&amp;R&amp;"Arial,Regular"&amp;8 &amp;K5C697Dgymgym.es/recursos</oddHeader>
    <oddFooter>&amp;L&amp;"Arial,Regular"&amp;8 &amp;K5C697DCuadro de mando mensual · Plantilla gratuita de GymGym&amp;R&amp;"Arial,Regular"&amp;8 &amp;K5C697DPágina &amp;P de &amp;N</oddFooter>
  </headerFooter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A3CCF"/>
    <pageSetUpPr fitToPage="1"/>
  </sheetPr>
  <dimension ref="B1:R41"/>
  <sheetViews>
    <sheetView showGridLines="0" workbookViewId="0">
      <pane xSplit="3" ySplit="5" topLeftCell="D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.5" customWidth="1"/>
    <col min="2" max="2" width="36" customWidth="1"/>
    <col min="3" max="3" width="5" customWidth="1"/>
    <col min="4" max="15" width="9.5" customWidth="1"/>
    <col min="16" max="18" width="11" customWidth="1"/>
  </cols>
  <sheetData>
    <row r="1" spans="2:18" ht="30" customHeight="1" x14ac:dyDescent="0.2">
      <c r="B1" s="19" t="s">
        <v>138</v>
      </c>
    </row>
    <row r="2" spans="2:18" ht="20" customHeight="1" x14ac:dyDescent="0.2">
      <c r="B2" s="8" t="s">
        <v>139</v>
      </c>
    </row>
    <row r="3" spans="2:18" ht="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 ht="10" customHeight="1" x14ac:dyDescent="0.2"/>
    <row r="5" spans="2:18" ht="26" customHeight="1" x14ac:dyDescent="0.2">
      <c r="B5" s="50" t="s">
        <v>38</v>
      </c>
      <c r="C5" s="51"/>
      <c r="D5" s="52" t="s">
        <v>70</v>
      </c>
      <c r="E5" s="52" t="s">
        <v>71</v>
      </c>
      <c r="F5" s="52" t="s">
        <v>72</v>
      </c>
      <c r="G5" s="52" t="s">
        <v>73</v>
      </c>
      <c r="H5" s="52" t="s">
        <v>74</v>
      </c>
      <c r="I5" s="52" t="s">
        <v>75</v>
      </c>
      <c r="J5" s="52" t="s">
        <v>76</v>
      </c>
      <c r="K5" s="52" t="s">
        <v>77</v>
      </c>
      <c r="L5" s="52" t="s">
        <v>78</v>
      </c>
      <c r="M5" s="52" t="s">
        <v>79</v>
      </c>
      <c r="N5" s="52" t="s">
        <v>80</v>
      </c>
      <c r="O5" s="52" t="s">
        <v>81</v>
      </c>
      <c r="P5" s="52" t="s">
        <v>37</v>
      </c>
      <c r="Q5" s="74" t="s">
        <v>40</v>
      </c>
      <c r="R5" s="74" t="s">
        <v>140</v>
      </c>
    </row>
    <row r="6" spans="2:18" ht="20" customHeight="1" x14ac:dyDescent="0.2">
      <c r="B6" s="57" t="s">
        <v>84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</row>
    <row r="7" spans="2:18" ht="19" customHeight="1" x14ac:dyDescent="0.2">
      <c r="B7" s="59" t="s">
        <v>141</v>
      </c>
      <c r="C7" s="60" t="s">
        <v>67</v>
      </c>
      <c r="D7" s="75">
        <f>IF(D$37=1,IF(ISNUMBER('Datos del mes'!$D$5),'Datos del mes'!$D$5,""),"")</f>
        <v>236</v>
      </c>
      <c r="E7" s="75">
        <f t="shared" ref="E7:O7" si="0">IF(E$37=1,IF(ISNUMBER(D10),D10,""),"")</f>
        <v>251</v>
      </c>
      <c r="F7" s="75">
        <f t="shared" si="0"/>
        <v>258</v>
      </c>
      <c r="G7" s="75">
        <f t="shared" si="0"/>
        <v>262</v>
      </c>
      <c r="H7" s="75">
        <f t="shared" si="0"/>
        <v>263</v>
      </c>
      <c r="I7" s="75">
        <f t="shared" si="0"/>
        <v>264</v>
      </c>
      <c r="J7" s="75">
        <f t="shared" si="0"/>
        <v>259</v>
      </c>
      <c r="K7" s="75">
        <f t="shared" si="0"/>
        <v>246</v>
      </c>
      <c r="L7" s="75">
        <f t="shared" si="0"/>
        <v>234</v>
      </c>
      <c r="M7" s="75">
        <f t="shared" si="0"/>
        <v>257</v>
      </c>
      <c r="N7" s="75" t="str">
        <f t="shared" si="0"/>
        <v/>
      </c>
      <c r="O7" s="75" t="str">
        <f t="shared" si="0"/>
        <v/>
      </c>
      <c r="P7" s="76">
        <f>IF(ISNUMBER(D7),D7,"")</f>
        <v>236</v>
      </c>
      <c r="Q7" s="54"/>
      <c r="R7" s="54"/>
    </row>
    <row r="8" spans="2:18" ht="19" customHeight="1" x14ac:dyDescent="0.2">
      <c r="B8" s="59" t="s">
        <v>142</v>
      </c>
      <c r="C8" s="60" t="s">
        <v>67</v>
      </c>
      <c r="D8" s="75">
        <f>IF(D$37=1,IF(ISNUMBER('Datos del mes'!D10),'Datos del mes'!D10,""),"")</f>
        <v>24</v>
      </c>
      <c r="E8" s="75">
        <f>IF(E$37=1,IF(ISNUMBER('Datos del mes'!E10),'Datos del mes'!E10,""),"")</f>
        <v>15</v>
      </c>
      <c r="F8" s="75">
        <f>IF(F$37=1,IF(ISNUMBER('Datos del mes'!F10),'Datos del mes'!F10,""),"")</f>
        <v>13</v>
      </c>
      <c r="G8" s="75">
        <f>IF(G$37=1,IF(ISNUMBER('Datos del mes'!G10),'Datos del mes'!G10,""),"")</f>
        <v>11</v>
      </c>
      <c r="H8" s="75">
        <f>IF(H$37=1,IF(ISNUMBER('Datos del mes'!H10),'Datos del mes'!H10,""),"")</f>
        <v>12</v>
      </c>
      <c r="I8" s="75">
        <f>IF(I$37=1,IF(ISNUMBER('Datos del mes'!I10),'Datos del mes'!I10,""),"")</f>
        <v>9</v>
      </c>
      <c r="J8" s="75">
        <f>IF(J$37=1,IF(ISNUMBER('Datos del mes'!J10),'Datos del mes'!J10,""),"")</f>
        <v>6</v>
      </c>
      <c r="K8" s="75">
        <f>IF(K$37=1,IF(ISNUMBER('Datos del mes'!K10),'Datos del mes'!K10,""),"")</f>
        <v>5</v>
      </c>
      <c r="L8" s="75">
        <f>IF(L$37=1,IF(ISNUMBER('Datos del mes'!L10),'Datos del mes'!L10,""),"")</f>
        <v>31</v>
      </c>
      <c r="M8" s="75">
        <f>IF(M$37=1,IF(ISNUMBER('Datos del mes'!M10),'Datos del mes'!M10,""),"")</f>
        <v>18</v>
      </c>
      <c r="N8" s="75" t="str">
        <f>IF(N$37=1,IF(ISNUMBER('Datos del mes'!N10),'Datos del mes'!N10,""),"")</f>
        <v/>
      </c>
      <c r="O8" s="75" t="str">
        <f>IF(O$37=1,IF(ISNUMBER('Datos del mes'!O10),'Datos del mes'!O10,""),"")</f>
        <v/>
      </c>
      <c r="P8" s="76">
        <f>IF(COUNT(D8:O8)=0,"",SUM(D8:O8))</f>
        <v>144</v>
      </c>
      <c r="Q8" s="54"/>
      <c r="R8" s="54"/>
    </row>
    <row r="9" spans="2:18" ht="19" customHeight="1" x14ac:dyDescent="0.2">
      <c r="B9" s="59" t="s">
        <v>143</v>
      </c>
      <c r="C9" s="60" t="s">
        <v>67</v>
      </c>
      <c r="D9" s="75">
        <f>IF(D$37=1,IF(ISNUMBER('Datos del mes'!D11),'Datos del mes'!D11,""),"")</f>
        <v>9</v>
      </c>
      <c r="E9" s="75">
        <f>IF(E$37=1,IF(ISNUMBER('Datos del mes'!E11),'Datos del mes'!E11,""),"")</f>
        <v>8</v>
      </c>
      <c r="F9" s="75">
        <f>IF(F$37=1,IF(ISNUMBER('Datos del mes'!F11),'Datos del mes'!F11,""),"")</f>
        <v>9</v>
      </c>
      <c r="G9" s="75">
        <f>IF(G$37=1,IF(ISNUMBER('Datos del mes'!G11),'Datos del mes'!G11,""),"")</f>
        <v>10</v>
      </c>
      <c r="H9" s="75">
        <f>IF(H$37=1,IF(ISNUMBER('Datos del mes'!H11),'Datos del mes'!H11,""),"")</f>
        <v>11</v>
      </c>
      <c r="I9" s="75">
        <f>IF(I$37=1,IF(ISNUMBER('Datos del mes'!I11),'Datos del mes'!I11,""),"")</f>
        <v>14</v>
      </c>
      <c r="J9" s="75">
        <f>IF(J$37=1,IF(ISNUMBER('Datos del mes'!J11),'Datos del mes'!J11,""),"")</f>
        <v>19</v>
      </c>
      <c r="K9" s="75">
        <f>IF(K$37=1,IF(ISNUMBER('Datos del mes'!K11),'Datos del mes'!K11,""),"")</f>
        <v>17</v>
      </c>
      <c r="L9" s="75">
        <f>IF(L$37=1,IF(ISNUMBER('Datos del mes'!L11),'Datos del mes'!L11,""),"")</f>
        <v>8</v>
      </c>
      <c r="M9" s="75">
        <f>IF(M$37=1,IF(ISNUMBER('Datos del mes'!M11),'Datos del mes'!M11,""),"")</f>
        <v>9</v>
      </c>
      <c r="N9" s="75" t="str">
        <f>IF(N$37=1,IF(ISNUMBER('Datos del mes'!N11),'Datos del mes'!N11,""),"")</f>
        <v/>
      </c>
      <c r="O9" s="75" t="str">
        <f>IF(O$37=1,IF(ISNUMBER('Datos del mes'!O11),'Datos del mes'!O11,""),"")</f>
        <v/>
      </c>
      <c r="P9" s="76">
        <f>IF(COUNT(D9:O9)=0,"",SUM(D9:O9))</f>
        <v>114</v>
      </c>
      <c r="Q9" s="54"/>
      <c r="R9" s="54"/>
    </row>
    <row r="10" spans="2:18" ht="19" customHeight="1" x14ac:dyDescent="0.2">
      <c r="B10" s="59" t="s">
        <v>118</v>
      </c>
      <c r="C10" s="60" t="s">
        <v>67</v>
      </c>
      <c r="D10" s="75">
        <f t="shared" ref="D10:O10" si="1">IF(AND(ISNUMBER(D7),ISNUMBER(D8),ISNUMBER(D9)),D7+D8-D9,"")</f>
        <v>251</v>
      </c>
      <c r="E10" s="75">
        <f t="shared" si="1"/>
        <v>258</v>
      </c>
      <c r="F10" s="75">
        <f t="shared" si="1"/>
        <v>262</v>
      </c>
      <c r="G10" s="75">
        <f t="shared" si="1"/>
        <v>263</v>
      </c>
      <c r="H10" s="75">
        <f t="shared" si="1"/>
        <v>264</v>
      </c>
      <c r="I10" s="75">
        <f t="shared" si="1"/>
        <v>259</v>
      </c>
      <c r="J10" s="75">
        <f t="shared" si="1"/>
        <v>246</v>
      </c>
      <c r="K10" s="75">
        <f t="shared" si="1"/>
        <v>234</v>
      </c>
      <c r="L10" s="75">
        <f t="shared" si="1"/>
        <v>257</v>
      </c>
      <c r="M10" s="75">
        <f t="shared" si="1"/>
        <v>266</v>
      </c>
      <c r="N10" s="75" t="str">
        <f t="shared" si="1"/>
        <v/>
      </c>
      <c r="O10" s="75" t="str">
        <f t="shared" si="1"/>
        <v/>
      </c>
      <c r="P10" s="76">
        <f>IF(P39=0,"",INDEX(D10:O10,P39))</f>
        <v>266</v>
      </c>
      <c r="Q10" s="54"/>
      <c r="R10" s="54"/>
    </row>
    <row r="11" spans="2:18" ht="19" customHeight="1" x14ac:dyDescent="0.2">
      <c r="B11" s="59" t="s">
        <v>144</v>
      </c>
      <c r="C11" s="60" t="s">
        <v>67</v>
      </c>
      <c r="D11" s="77">
        <f t="shared" ref="D11:O11" si="2">IF(AND(ISNUMBER(D8),ISNUMBER(D9)),D8-D9,"")</f>
        <v>15</v>
      </c>
      <c r="E11" s="77">
        <f t="shared" si="2"/>
        <v>7</v>
      </c>
      <c r="F11" s="77">
        <f t="shared" si="2"/>
        <v>4</v>
      </c>
      <c r="G11" s="77">
        <f t="shared" si="2"/>
        <v>1</v>
      </c>
      <c r="H11" s="77">
        <f t="shared" si="2"/>
        <v>1</v>
      </c>
      <c r="I11" s="77">
        <f t="shared" si="2"/>
        <v>-5</v>
      </c>
      <c r="J11" s="77">
        <f t="shared" si="2"/>
        <v>-13</v>
      </c>
      <c r="K11" s="77">
        <f t="shared" si="2"/>
        <v>-12</v>
      </c>
      <c r="L11" s="77">
        <f t="shared" si="2"/>
        <v>23</v>
      </c>
      <c r="M11" s="77">
        <f t="shared" si="2"/>
        <v>9</v>
      </c>
      <c r="N11" s="77" t="str">
        <f t="shared" si="2"/>
        <v/>
      </c>
      <c r="O11" s="77" t="str">
        <f t="shared" si="2"/>
        <v/>
      </c>
      <c r="P11" s="78">
        <f>IF(COUNT(D11:O11)=0,"",SUM(D11:O11))</f>
        <v>30</v>
      </c>
      <c r="Q11" s="54"/>
      <c r="R11" s="54"/>
    </row>
    <row r="12" spans="2:18" ht="19" customHeight="1" x14ac:dyDescent="0.2">
      <c r="B12" s="65" t="s">
        <v>119</v>
      </c>
      <c r="C12" s="60" t="s">
        <v>145</v>
      </c>
      <c r="D12" s="79">
        <f t="shared" ref="D12:O12" si="3">IF(AND(ISNUMBER(D9),ISNUMBER(D7)),IF(D7&gt;0,D9/D7,""),"")</f>
        <v>3.8135593220338986E-2</v>
      </c>
      <c r="E12" s="79">
        <f t="shared" si="3"/>
        <v>3.1872509960159362E-2</v>
      </c>
      <c r="F12" s="79">
        <f t="shared" si="3"/>
        <v>3.4883720930232558E-2</v>
      </c>
      <c r="G12" s="79">
        <f t="shared" si="3"/>
        <v>3.8167938931297711E-2</v>
      </c>
      <c r="H12" s="79">
        <f t="shared" si="3"/>
        <v>4.1825095057034217E-2</v>
      </c>
      <c r="I12" s="79">
        <f t="shared" si="3"/>
        <v>5.3030303030303032E-2</v>
      </c>
      <c r="J12" s="79">
        <f t="shared" si="3"/>
        <v>7.3359073359073365E-2</v>
      </c>
      <c r="K12" s="79">
        <f t="shared" si="3"/>
        <v>6.910569105691057E-2</v>
      </c>
      <c r="L12" s="79">
        <f t="shared" si="3"/>
        <v>3.4188034188034191E-2</v>
      </c>
      <c r="M12" s="79">
        <f t="shared" si="3"/>
        <v>3.5019455252918288E-2</v>
      </c>
      <c r="N12" s="79" t="str">
        <f t="shared" si="3"/>
        <v/>
      </c>
      <c r="O12" s="79" t="str">
        <f t="shared" si="3"/>
        <v/>
      </c>
      <c r="P12" s="80">
        <f>IF(COUNT(D12:O12)=0,"",SUMIFS(D9:O9,D12:O12,"&gt;=0")/SUMIFS(D7:O7,D12:O12,"&gt;=0"))</f>
        <v>4.5059288537549404E-2</v>
      </c>
      <c r="Q12" s="81">
        <f>Objetivos!$D$10</f>
        <v>0.04</v>
      </c>
      <c r="R12" s="82">
        <f>Objetivos!$D$10+Objetivos!$E$10/100</f>
        <v>5.5E-2</v>
      </c>
    </row>
    <row r="13" spans="2:18" ht="19" customHeight="1" x14ac:dyDescent="0.2">
      <c r="B13" s="59" t="s">
        <v>146</v>
      </c>
      <c r="C13" s="60" t="s">
        <v>145</v>
      </c>
      <c r="D13" s="79">
        <f t="shared" ref="D13:P13" si="4">IF(ISNUMBER(D12),1-D12,"")</f>
        <v>0.96186440677966101</v>
      </c>
      <c r="E13" s="79">
        <f t="shared" si="4"/>
        <v>0.96812749003984067</v>
      </c>
      <c r="F13" s="79">
        <f t="shared" si="4"/>
        <v>0.96511627906976749</v>
      </c>
      <c r="G13" s="79">
        <f t="shared" si="4"/>
        <v>0.96183206106870234</v>
      </c>
      <c r="H13" s="79">
        <f t="shared" si="4"/>
        <v>0.95817490494296575</v>
      </c>
      <c r="I13" s="79">
        <f t="shared" si="4"/>
        <v>0.94696969696969702</v>
      </c>
      <c r="J13" s="79">
        <f t="shared" si="4"/>
        <v>0.92664092664092668</v>
      </c>
      <c r="K13" s="79">
        <f t="shared" si="4"/>
        <v>0.93089430894308944</v>
      </c>
      <c r="L13" s="79">
        <f t="shared" si="4"/>
        <v>0.96581196581196582</v>
      </c>
      <c r="M13" s="79">
        <f t="shared" si="4"/>
        <v>0.96498054474708173</v>
      </c>
      <c r="N13" s="79" t="str">
        <f t="shared" si="4"/>
        <v/>
      </c>
      <c r="O13" s="79" t="str">
        <f t="shared" si="4"/>
        <v/>
      </c>
      <c r="P13" s="80">
        <f t="shared" si="4"/>
        <v>0.95494071146245063</v>
      </c>
      <c r="Q13" s="54"/>
      <c r="R13" s="54"/>
    </row>
    <row r="14" spans="2:18" ht="20" customHeight="1" x14ac:dyDescent="0.2">
      <c r="B14" s="57" t="s">
        <v>147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</row>
    <row r="15" spans="2:18" ht="19" customHeight="1" x14ac:dyDescent="0.2">
      <c r="B15" s="59" t="s">
        <v>148</v>
      </c>
      <c r="C15" s="60" t="s">
        <v>89</v>
      </c>
      <c r="D15" s="66">
        <f>IF(COUNT('Datos del mes'!D13:D17)=0,"",SUM('Datos del mes'!D13:D17))</f>
        <v>17290</v>
      </c>
      <c r="E15" s="66">
        <f>IF(COUNT('Datos del mes'!E13:E17)=0,"",SUM('Datos del mes'!E13:E17))</f>
        <v>17500</v>
      </c>
      <c r="F15" s="66">
        <f>IF(COUNT('Datos del mes'!F13:F17)=0,"",SUM('Datos del mes'!F13:F17))</f>
        <v>17890</v>
      </c>
      <c r="G15" s="66">
        <f>IF(COUNT('Datos del mes'!G13:G17)=0,"",SUM('Datos del mes'!G13:G17))</f>
        <v>17810</v>
      </c>
      <c r="H15" s="66">
        <f>IF(COUNT('Datos del mes'!H13:H17)=0,"",SUM('Datos del mes'!H13:H17))</f>
        <v>18370</v>
      </c>
      <c r="I15" s="66">
        <f>IF(COUNT('Datos del mes'!I13:I17)=0,"",SUM('Datos del mes'!I13:I17))</f>
        <v>17970</v>
      </c>
      <c r="J15" s="66">
        <f>IF(COUNT('Datos del mes'!J13:J17)=0,"",SUM('Datos del mes'!J13:J17))</f>
        <v>16110</v>
      </c>
      <c r="K15" s="66">
        <f>IF(COUNT('Datos del mes'!K13:K17)=0,"",SUM('Datos del mes'!K13:K17))</f>
        <v>13990</v>
      </c>
      <c r="L15" s="66">
        <f>IF(COUNT('Datos del mes'!L13:L17)=0,"",SUM('Datos del mes'!L13:L17))</f>
        <v>17680</v>
      </c>
      <c r="M15" s="66">
        <f>IF(COUNT('Datos del mes'!M13:M17)=0,"",SUM('Datos del mes'!M13:M17))</f>
        <v>18520</v>
      </c>
      <c r="N15" s="66" t="str">
        <f>IF(COUNT('Datos del mes'!N13:N17)=0,"",SUM('Datos del mes'!N13:N17))</f>
        <v/>
      </c>
      <c r="O15" s="66" t="str">
        <f>IF(COUNT('Datos del mes'!O13:O17)=0,"",SUM('Datos del mes'!O13:O17))</f>
        <v/>
      </c>
      <c r="P15" s="83">
        <f>IF(COUNT(D15:O15)=0,"",SUM(D15:O15))</f>
        <v>173130</v>
      </c>
      <c r="Q15" s="54"/>
      <c r="R15" s="54"/>
    </row>
    <row r="16" spans="2:18" ht="19" customHeight="1" x14ac:dyDescent="0.2">
      <c r="B16" s="59" t="s">
        <v>149</v>
      </c>
      <c r="C16" s="60" t="s">
        <v>89</v>
      </c>
      <c r="D16" s="66">
        <f>IF(COUNT('Datos del mes'!D19:D23)=0,"",SUM('Datos del mes'!D19:D23))</f>
        <v>14630</v>
      </c>
      <c r="E16" s="66">
        <f>IF(COUNT('Datos del mes'!E19:E23)=0,"",SUM('Datos del mes'!E19:E23))</f>
        <v>13890</v>
      </c>
      <c r="F16" s="66">
        <f>IF(COUNT('Datos del mes'!F19:F23)=0,"",SUM('Datos del mes'!F19:F23))</f>
        <v>13700</v>
      </c>
      <c r="G16" s="66">
        <f>IF(COUNT('Datos del mes'!G19:G23)=0,"",SUM('Datos del mes'!G19:G23))</f>
        <v>13650</v>
      </c>
      <c r="H16" s="66">
        <f>IF(COUNT('Datos del mes'!H19:H23)=0,"",SUM('Datos del mes'!H19:H23))</f>
        <v>13590</v>
      </c>
      <c r="I16" s="66">
        <f>IF(COUNT('Datos del mes'!I19:I23)=0,"",SUM('Datos del mes'!I19:I23))</f>
        <v>13710</v>
      </c>
      <c r="J16" s="66">
        <f>IF(COUNT('Datos del mes'!J19:J23)=0,"",SUM('Datos del mes'!J19:J23))</f>
        <v>13830</v>
      </c>
      <c r="K16" s="66">
        <f>IF(COUNT('Datos del mes'!K19:K23)=0,"",SUM('Datos del mes'!K19:K23))</f>
        <v>13800</v>
      </c>
      <c r="L16" s="66">
        <f>IF(COUNT('Datos del mes'!L19:L23)=0,"",SUM('Datos del mes'!L19:L23))</f>
        <v>15160</v>
      </c>
      <c r="M16" s="66">
        <f>IF(COUNT('Datos del mes'!M19:M23)=0,"",SUM('Datos del mes'!M19:M23))</f>
        <v>15040</v>
      </c>
      <c r="N16" s="66" t="str">
        <f>IF(COUNT('Datos del mes'!N19:N23)=0,"",SUM('Datos del mes'!N19:N23))</f>
        <v/>
      </c>
      <c r="O16" s="66" t="str">
        <f>IF(COUNT('Datos del mes'!O19:O23)=0,"",SUM('Datos del mes'!O19:O23))</f>
        <v/>
      </c>
      <c r="P16" s="83">
        <f>IF(COUNT(D16:O16)=0,"",SUM(D16:O16))</f>
        <v>141000</v>
      </c>
      <c r="Q16" s="54"/>
      <c r="R16" s="54"/>
    </row>
    <row r="17" spans="2:18" ht="19" customHeight="1" x14ac:dyDescent="0.2">
      <c r="B17" s="59" t="s">
        <v>150</v>
      </c>
      <c r="C17" s="60" t="s">
        <v>89</v>
      </c>
      <c r="D17" s="84">
        <f t="shared" ref="D17:P17" si="5">IF(AND(ISNUMBER(D15),ISNUMBER(D16)),D15-D16,"")</f>
        <v>2660</v>
      </c>
      <c r="E17" s="84">
        <f t="shared" si="5"/>
        <v>3610</v>
      </c>
      <c r="F17" s="84">
        <f t="shared" si="5"/>
        <v>4190</v>
      </c>
      <c r="G17" s="84">
        <f t="shared" si="5"/>
        <v>4160</v>
      </c>
      <c r="H17" s="84">
        <f t="shared" si="5"/>
        <v>4780</v>
      </c>
      <c r="I17" s="84">
        <f t="shared" si="5"/>
        <v>4260</v>
      </c>
      <c r="J17" s="84">
        <f t="shared" si="5"/>
        <v>2280</v>
      </c>
      <c r="K17" s="84">
        <f t="shared" si="5"/>
        <v>190</v>
      </c>
      <c r="L17" s="84">
        <f t="shared" si="5"/>
        <v>2520</v>
      </c>
      <c r="M17" s="84">
        <f t="shared" si="5"/>
        <v>3480</v>
      </c>
      <c r="N17" s="84" t="str">
        <f t="shared" si="5"/>
        <v/>
      </c>
      <c r="O17" s="84" t="str">
        <f t="shared" si="5"/>
        <v/>
      </c>
      <c r="P17" s="85">
        <f t="shared" si="5"/>
        <v>32130</v>
      </c>
      <c r="Q17" s="54"/>
      <c r="R17" s="54"/>
    </row>
    <row r="18" spans="2:18" ht="19" customHeight="1" x14ac:dyDescent="0.2">
      <c r="B18" s="65" t="s">
        <v>54</v>
      </c>
      <c r="C18" s="60" t="s">
        <v>145</v>
      </c>
      <c r="D18" s="79">
        <f t="shared" ref="D18:O18" si="6">IF(ISNUMBER(D17),IF(D15&gt;0,D17/D15,""),"")</f>
        <v>0.15384615384615385</v>
      </c>
      <c r="E18" s="79">
        <f t="shared" si="6"/>
        <v>0.20628571428571429</v>
      </c>
      <c r="F18" s="79">
        <f t="shared" si="6"/>
        <v>0.23420905533817776</v>
      </c>
      <c r="G18" s="79">
        <f t="shared" si="6"/>
        <v>0.23357664233576642</v>
      </c>
      <c r="H18" s="79">
        <f t="shared" si="6"/>
        <v>0.26020685900925422</v>
      </c>
      <c r="I18" s="79">
        <f t="shared" si="6"/>
        <v>0.23706176961602671</v>
      </c>
      <c r="J18" s="79">
        <f t="shared" si="6"/>
        <v>0.14152700186219738</v>
      </c>
      <c r="K18" s="79">
        <f t="shared" si="6"/>
        <v>1.3581129378127233E-2</v>
      </c>
      <c r="L18" s="79">
        <f t="shared" si="6"/>
        <v>0.1425339366515837</v>
      </c>
      <c r="M18" s="79">
        <f t="shared" si="6"/>
        <v>0.18790496760259179</v>
      </c>
      <c r="N18" s="79" t="str">
        <f t="shared" si="6"/>
        <v/>
      </c>
      <c r="O18" s="79" t="str">
        <f t="shared" si="6"/>
        <v/>
      </c>
      <c r="P18" s="80">
        <f>IF(ISNUMBER(P17),IF(N(P15)&gt;0,P17/P15,""),"")</f>
        <v>0.18558308785305838</v>
      </c>
      <c r="Q18" s="86">
        <f>Objetivos!$D$14</f>
        <v>0.15</v>
      </c>
      <c r="R18" s="82">
        <f>Objetivos!$D$14-Objetivos!$E$14/100</f>
        <v>9.9999999999999992E-2</v>
      </c>
    </row>
    <row r="19" spans="2:18" ht="19" customHeight="1" x14ac:dyDescent="0.2">
      <c r="B19" s="65" t="s">
        <v>55</v>
      </c>
      <c r="C19" s="60" t="s">
        <v>145</v>
      </c>
      <c r="D19" s="79">
        <f>IF(AND(ISNUMBER('Datos del mes'!D19),ISNUMBER(D15)),IF(D15&gt;0,'Datos del mes'!D19/D15,""),"")</f>
        <v>0.41353383458646614</v>
      </c>
      <c r="E19" s="79">
        <f>IF(AND(ISNUMBER('Datos del mes'!E19),ISNUMBER(E15)),IF(E15&gt;0,'Datos del mes'!E19/E15,""),"")</f>
        <v>0.40857142857142859</v>
      </c>
      <c r="F19" s="79">
        <f>IF(AND(ISNUMBER('Datos del mes'!F19),ISNUMBER(F15)),IF(F15&gt;0,'Datos del mes'!F19/F15,""),"")</f>
        <v>0.40245947456679709</v>
      </c>
      <c r="G19" s="79">
        <f>IF(AND(ISNUMBER('Datos del mes'!G19),ISNUMBER(G15)),IF(G15&gt;0,'Datos del mes'!G19/G15,""),"")</f>
        <v>0.40426726558113418</v>
      </c>
      <c r="H19" s="79">
        <f>IF(AND(ISNUMBER('Datos del mes'!H19),ISNUMBER(H15)),IF(H15&gt;0,'Datos del mes'!H19/H15,""),"")</f>
        <v>0.39466521502449647</v>
      </c>
      <c r="I19" s="79">
        <f>IF(AND(ISNUMBER('Datos del mes'!I19),ISNUMBER(I15)),IF(I15&gt;0,'Datos del mes'!I19/I15,""),"")</f>
        <v>0.40623260990539789</v>
      </c>
      <c r="J19" s="79">
        <f>IF(AND(ISNUMBER('Datos del mes'!J19),ISNUMBER(J15)),IF(J15&gt;0,'Datos del mes'!J19/J15,""),"")</f>
        <v>0.45313469894475483</v>
      </c>
      <c r="K19" s="79">
        <f>IF(AND(ISNUMBER('Datos del mes'!K19),ISNUMBER(K15)),IF(K15&gt;0,'Datos del mes'!K19/K15,""),"")</f>
        <v>0.49320943531093636</v>
      </c>
      <c r="L19" s="79">
        <f>IF(AND(ISNUMBER('Datos del mes'!L19),ISNUMBER(L15)),IF(L15&gt;0,'Datos del mes'!L19/L15,""),"")</f>
        <v>0.43269230769230771</v>
      </c>
      <c r="M19" s="79">
        <f>IF(AND(ISNUMBER('Datos del mes'!M19),ISNUMBER(M15)),IF(M15&gt;0,'Datos del mes'!M19/M15,""),"")</f>
        <v>0.43736501079913609</v>
      </c>
      <c r="N19" s="79" t="str">
        <f>IF(AND(ISNUMBER('Datos del mes'!N19),ISNUMBER(N15)),IF(N15&gt;0,'Datos del mes'!N19/N15,""),"")</f>
        <v/>
      </c>
      <c r="O19" s="79" t="str">
        <f>IF(AND(ISNUMBER('Datos del mes'!O19),ISNUMBER(O15)),IF(O15&gt;0,'Datos del mes'!O19/O15,""),"")</f>
        <v/>
      </c>
      <c r="P19" s="80">
        <f>IF(COUNT(D19:O19)=0,"",SUMIFS('Datos del mes'!D19:O19,D19:O19,"&gt;=0")/SUMIFS(D15:O15,D19:O19,"&gt;=0"))</f>
        <v>0.42280367354011439</v>
      </c>
      <c r="Q19" s="81">
        <f>Objetivos!$D$15</f>
        <v>0.42</v>
      </c>
      <c r="R19" s="82">
        <f>Objetivos!$D$15+Objetivos!$E$15/100</f>
        <v>0.45999999999999996</v>
      </c>
    </row>
    <row r="20" spans="2:18" ht="19" customHeight="1" x14ac:dyDescent="0.2">
      <c r="B20" s="59" t="s">
        <v>151</v>
      </c>
      <c r="C20" s="60" t="s">
        <v>89</v>
      </c>
      <c r="D20" s="87">
        <f t="shared" ref="D20:O20" si="7">IF(AND(ISNUMBER(D15),ISNUMBER(D38)),IF(D38&gt;0,D15/D38,""),"")</f>
        <v>71.006160164271051</v>
      </c>
      <c r="E20" s="87">
        <f t="shared" si="7"/>
        <v>68.762278978388991</v>
      </c>
      <c r="F20" s="87">
        <f t="shared" si="7"/>
        <v>68.807692307692307</v>
      </c>
      <c r="G20" s="87">
        <f t="shared" si="7"/>
        <v>67.847619047619048</v>
      </c>
      <c r="H20" s="87">
        <f t="shared" si="7"/>
        <v>69.715370018975335</v>
      </c>
      <c r="I20" s="87">
        <f t="shared" si="7"/>
        <v>68.718929254302097</v>
      </c>
      <c r="J20" s="87">
        <f t="shared" si="7"/>
        <v>63.801980198019805</v>
      </c>
      <c r="K20" s="87">
        <f t="shared" si="7"/>
        <v>58.291666666666664</v>
      </c>
      <c r="L20" s="87">
        <f t="shared" si="7"/>
        <v>72.016293279022406</v>
      </c>
      <c r="M20" s="87">
        <f t="shared" si="7"/>
        <v>70.822179732313572</v>
      </c>
      <c r="N20" s="87" t="str">
        <f t="shared" si="7"/>
        <v/>
      </c>
      <c r="O20" s="87" t="str">
        <f t="shared" si="7"/>
        <v/>
      </c>
      <c r="P20" s="88">
        <f>IF(COUNT(D20:O20)=0,"",SUMIFS(D15:O15,D20:O20,"&gt;=0")/SUMIFS(D38:O38,D20:O20,"&gt;=0"))</f>
        <v>68.02750491159135</v>
      </c>
      <c r="Q20" s="54"/>
      <c r="R20" s="54"/>
    </row>
    <row r="21" spans="2:18" ht="19" customHeight="1" x14ac:dyDescent="0.2">
      <c r="B21" s="65" t="s">
        <v>152</v>
      </c>
      <c r="C21" s="60" t="s">
        <v>145</v>
      </c>
      <c r="D21" s="79">
        <f>IF(AND(ISNUMBER('Datos del mes'!D34),ISNUMBER('Datos del mes'!D33)),IF('Datos del mes'!D33&gt;0,'Datos del mes'!D34/'Datos del mes'!D33,""),"")</f>
        <v>2.0735785953177259E-2</v>
      </c>
      <c r="E21" s="79">
        <f>IF(AND(ISNUMBER('Datos del mes'!E34),ISNUMBER('Datos del mes'!E33)),IF('Datos del mes'!E33&gt;0,'Datos del mes'!E34/'Datos del mes'!E33,""),"")</f>
        <v>1.5873015873015872E-2</v>
      </c>
      <c r="F21" s="79">
        <f>IF(AND(ISNUMBER('Datos del mes'!F34),ISNUMBER('Datos del mes'!F33)),IF('Datos del mes'!F33&gt;0,'Datos del mes'!F34/'Datos del mes'!F33,""),"")</f>
        <v>1.9206939281288724E-2</v>
      </c>
      <c r="G21" s="79">
        <f>IF(AND(ISNUMBER('Datos del mes'!G34),ISNUMBER('Datos del mes'!G33)),IF('Datos del mes'!G33&gt;0,'Datos del mes'!G34/'Datos del mes'!G33,""),"")</f>
        <v>2.4283935242839352E-2</v>
      </c>
      <c r="H21" s="79">
        <f>IF(AND(ISNUMBER('Datos del mes'!H34),ISNUMBER('Datos del mes'!H33)),IF('Datos del mes'!H33&gt;0,'Datos del mes'!H34/'Datos del mes'!H33,""),"")</f>
        <v>8.2926829268292687E-2</v>
      </c>
      <c r="I21" s="79">
        <f>IF(AND(ISNUMBER('Datos del mes'!I34),ISNUMBER('Datos del mes'!I33)),IF('Datos del mes'!I33&gt;0,'Datos del mes'!I34/'Datos del mes'!I33,""),"")</f>
        <v>2.5769956002514142E-2</v>
      </c>
      <c r="J21" s="79">
        <f>IF(AND(ISNUMBER('Datos del mes'!J34),ISNUMBER('Datos del mes'!J33)),IF('Datos del mes'!J33&gt;0,'Datos del mes'!J34/'Datos del mes'!J33,""),"")</f>
        <v>2.8832630098452883E-2</v>
      </c>
      <c r="K21" s="79">
        <f>IF(AND(ISNUMBER('Datos del mes'!K34),ISNUMBER('Datos del mes'!K33)),IF('Datos del mes'!K33&gt;0,'Datos del mes'!K34/'Datos del mes'!K33,""),"")</f>
        <v>3.5830618892508145E-2</v>
      </c>
      <c r="L21" s="79">
        <f>IF(AND(ISNUMBER('Datos del mes'!L34),ISNUMBER('Datos del mes'!L33)),IF('Datos del mes'!L33&gt;0,'Datos del mes'!L34/'Datos del mes'!L33,""),"")</f>
        <v>2.1753460777851022E-2</v>
      </c>
      <c r="M21" s="79">
        <f>IF(AND(ISNUMBER('Datos del mes'!M34),ISNUMBER('Datos del mes'!M33)),IF('Datos del mes'!M33&gt;0,'Datos del mes'!M34/'Datos del mes'!M33,""),"")</f>
        <v>1.820388349514563E-2</v>
      </c>
      <c r="N21" s="79" t="str">
        <f>IF(AND(ISNUMBER('Datos del mes'!N34),ISNUMBER('Datos del mes'!N33)),IF('Datos del mes'!N33&gt;0,'Datos del mes'!N34/'Datos del mes'!N33,""),"")</f>
        <v/>
      </c>
      <c r="O21" s="79" t="str">
        <f>IF(AND(ISNUMBER('Datos del mes'!O34),ISNUMBER('Datos del mes'!O33)),IF('Datos del mes'!O33&gt;0,'Datos del mes'!O34/'Datos del mes'!O33,""),"")</f>
        <v/>
      </c>
      <c r="P21" s="80">
        <f>IF(COUNT(D21:O21)=0,"",SUMIFS('Datos del mes'!D34:O34,D21:O21,"&gt;=0")/SUMIFS('Datos del mes'!D33:O33,D21:O21,"&gt;=0"))</f>
        <v>2.9407929055816379E-2</v>
      </c>
      <c r="Q21" s="81">
        <f>Objetivos!$D$16</f>
        <v>0.03</v>
      </c>
      <c r="R21" s="82">
        <f>Objetivos!$D$16+Objetivos!$E$16/100</f>
        <v>0.05</v>
      </c>
    </row>
    <row r="22" spans="2:18" ht="20" customHeight="1" x14ac:dyDescent="0.2">
      <c r="B22" s="57" t="s">
        <v>100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</row>
    <row r="23" spans="2:18" ht="19" customHeight="1" x14ac:dyDescent="0.2">
      <c r="B23" s="59" t="s">
        <v>153</v>
      </c>
      <c r="C23" s="60" t="s">
        <v>67</v>
      </c>
      <c r="D23" s="75">
        <f>IF(D$37=1,IF(ISNUMBER('Datos del mes'!D25),'Datos del mes'!D25,""),"")</f>
        <v>92</v>
      </c>
      <c r="E23" s="75">
        <f>IF(E$37=1,IF(ISNUMBER('Datos del mes'!E25),'Datos del mes'!E25,""),"")</f>
        <v>64</v>
      </c>
      <c r="F23" s="75">
        <f>IF(F$37=1,IF(ISNUMBER('Datos del mes'!F25),'Datos del mes'!F25,""),"")</f>
        <v>58</v>
      </c>
      <c r="G23" s="75">
        <f>IF(G$37=1,IF(ISNUMBER('Datos del mes'!G25),'Datos del mes'!G25,""),"")</f>
        <v>52</v>
      </c>
      <c r="H23" s="75">
        <f>IF(H$37=1,IF(ISNUMBER('Datos del mes'!H25),'Datos del mes'!H25,""),"")</f>
        <v>55</v>
      </c>
      <c r="I23" s="75">
        <f>IF(I$37=1,IF(ISNUMBER('Datos del mes'!I25),'Datos del mes'!I25,""),"")</f>
        <v>47</v>
      </c>
      <c r="J23" s="75">
        <f>IF(J$37=1,IF(ISNUMBER('Datos del mes'!J25),'Datos del mes'!J25,""),"")</f>
        <v>33</v>
      </c>
      <c r="K23" s="75">
        <f>IF(K$37=1,IF(ISNUMBER('Datos del mes'!K25),'Datos del mes'!K25,""),"")</f>
        <v>38</v>
      </c>
      <c r="L23" s="75">
        <f>IF(L$37=1,IF(ISNUMBER('Datos del mes'!L25),'Datos del mes'!L25,""),"")</f>
        <v>118</v>
      </c>
      <c r="M23" s="75">
        <f>IF(M$37=1,IF(ISNUMBER('Datos del mes'!M25),'Datos del mes'!M25,""),"")</f>
        <v>77</v>
      </c>
      <c r="N23" s="75" t="str">
        <f>IF(N$37=1,IF(ISNUMBER('Datos del mes'!N25),'Datos del mes'!N25,""),"")</f>
        <v/>
      </c>
      <c r="O23" s="75" t="str">
        <f>IF(O$37=1,IF(ISNUMBER('Datos del mes'!O25),'Datos del mes'!O25,""),"")</f>
        <v/>
      </c>
      <c r="P23" s="76">
        <f>IF(COUNT(D23:O23)=0,"",SUM(D23:O23))</f>
        <v>634</v>
      </c>
      <c r="Q23" s="54"/>
      <c r="R23" s="54"/>
    </row>
    <row r="24" spans="2:18" ht="19" customHeight="1" x14ac:dyDescent="0.2">
      <c r="B24" s="59" t="s">
        <v>154</v>
      </c>
      <c r="C24" s="60" t="s">
        <v>145</v>
      </c>
      <c r="D24" s="79">
        <f>IF(AND(ISNUMBER('Datos del mes'!D26),ISNUMBER('Datos del mes'!D25)),IF('Datos del mes'!D25&gt;0,'Datos del mes'!D26/'Datos del mes'!D25,""),"")</f>
        <v>0.44565217391304346</v>
      </c>
      <c r="E24" s="79">
        <f>IF(AND(ISNUMBER('Datos del mes'!E26),ISNUMBER('Datos del mes'!E25)),IF('Datos del mes'!E25&gt;0,'Datos del mes'!E26/'Datos del mes'!E25,""),"")</f>
        <v>0.4375</v>
      </c>
      <c r="F24" s="79">
        <f>IF(AND(ISNUMBER('Datos del mes'!F26),ISNUMBER('Datos del mes'!F25)),IF('Datos del mes'!F25&gt;0,'Datos del mes'!F26/'Datos del mes'!F25,""),"")</f>
        <v>0.43103448275862066</v>
      </c>
      <c r="G24" s="79">
        <f>IF(AND(ISNUMBER('Datos del mes'!G26),ISNUMBER('Datos del mes'!G25)),IF('Datos del mes'!G25&gt;0,'Datos del mes'!G26/'Datos del mes'!G25,""),"")</f>
        <v>0.42307692307692307</v>
      </c>
      <c r="H24" s="79">
        <f>IF(AND(ISNUMBER('Datos del mes'!H26),ISNUMBER('Datos del mes'!H25)),IF('Datos del mes'!H25&gt;0,'Datos del mes'!H26/'Datos del mes'!H25,""),"")</f>
        <v>0.43636363636363634</v>
      </c>
      <c r="I24" s="79">
        <f>IF(AND(ISNUMBER('Datos del mes'!I26),ISNUMBER('Datos del mes'!I25)),IF('Datos del mes'!I25&gt;0,'Datos del mes'!I26/'Datos del mes'!I25,""),"")</f>
        <v>0.40425531914893614</v>
      </c>
      <c r="J24" s="79">
        <f>IF(AND(ISNUMBER('Datos del mes'!J26),ISNUMBER('Datos del mes'!J25)),IF('Datos del mes'!J25&gt;0,'Datos del mes'!J26/'Datos del mes'!J25,""),"")</f>
        <v>0.42424242424242425</v>
      </c>
      <c r="K24" s="79">
        <f>IF(AND(ISNUMBER('Datos del mes'!K26),ISNUMBER('Datos del mes'!K25)),IF('Datos del mes'!K25&gt;0,'Datos del mes'!K26/'Datos del mes'!K25,""),"")</f>
        <v>0.31578947368421051</v>
      </c>
      <c r="L24" s="79">
        <f>IF(AND(ISNUMBER('Datos del mes'!L26),ISNUMBER('Datos del mes'!L25)),IF('Datos del mes'!L25&gt;0,'Datos del mes'!L26/'Datos del mes'!L25,""),"")</f>
        <v>0.47457627118644069</v>
      </c>
      <c r="M24" s="79">
        <f>IF(AND(ISNUMBER('Datos del mes'!M26),ISNUMBER('Datos del mes'!M25)),IF('Datos del mes'!M25&gt;0,'Datos del mes'!M26/'Datos del mes'!M25,""),"")</f>
        <v>0.45454545454545453</v>
      </c>
      <c r="N24" s="79" t="str">
        <f>IF(AND(ISNUMBER('Datos del mes'!N26),ISNUMBER('Datos del mes'!N25)),IF('Datos del mes'!N25&gt;0,'Datos del mes'!N26/'Datos del mes'!N25,""),"")</f>
        <v/>
      </c>
      <c r="O24" s="79" t="str">
        <f>IF(AND(ISNUMBER('Datos del mes'!O26),ISNUMBER('Datos del mes'!O25)),IF('Datos del mes'!O25&gt;0,'Datos del mes'!O26/'Datos del mes'!O25,""),"")</f>
        <v/>
      </c>
      <c r="P24" s="80">
        <f>IF(COUNT(D24:O24)=0,"",SUMIFS('Datos del mes'!D26:O26,D24:O24,"&gt;=0")/SUMIFS('Datos del mes'!D25:O25,D24:O24,"&gt;=0"))</f>
        <v>0.43533123028391169</v>
      </c>
      <c r="Q24" s="54"/>
      <c r="R24" s="54"/>
    </row>
    <row r="25" spans="2:18" ht="19" customHeight="1" x14ac:dyDescent="0.2">
      <c r="B25" s="65" t="s">
        <v>120</v>
      </c>
      <c r="C25" s="60" t="s">
        <v>145</v>
      </c>
      <c r="D25" s="79">
        <f>IF(AND(ISNUMBER('Datos del mes'!D27),ISNUMBER('Datos del mes'!D26)),IF('Datos del mes'!D26&gt;0,'Datos del mes'!D27/'Datos del mes'!D26,""),"")</f>
        <v>0.43902439024390244</v>
      </c>
      <c r="E25" s="79">
        <f>IF(AND(ISNUMBER('Datos del mes'!E27),ISNUMBER('Datos del mes'!E26)),IF('Datos del mes'!E26&gt;0,'Datos del mes'!E27/'Datos del mes'!E26,""),"")</f>
        <v>0.42857142857142855</v>
      </c>
      <c r="F25" s="79">
        <f>IF(AND(ISNUMBER('Datos del mes'!F27),ISNUMBER('Datos del mes'!F26)),IF('Datos del mes'!F26&gt;0,'Datos del mes'!F27/'Datos del mes'!F26,""),"")</f>
        <v>0.4</v>
      </c>
      <c r="G25" s="79">
        <f>IF(AND(ISNUMBER('Datos del mes'!G27),ISNUMBER('Datos del mes'!G26)),IF('Datos del mes'!G26&gt;0,'Datos del mes'!G27/'Datos del mes'!G26,""),"")</f>
        <v>0.40909090909090912</v>
      </c>
      <c r="H25" s="79">
        <f>IF(AND(ISNUMBER('Datos del mes'!H27),ISNUMBER('Datos del mes'!H26)),IF('Datos del mes'!H26&gt;0,'Datos del mes'!H27/'Datos del mes'!H26,""),"")</f>
        <v>0.375</v>
      </c>
      <c r="I25" s="79">
        <f>IF(AND(ISNUMBER('Datos del mes'!I27),ISNUMBER('Datos del mes'!I26)),IF('Datos del mes'!I26&gt;0,'Datos del mes'!I27/'Datos del mes'!I26,""),"")</f>
        <v>0.36842105263157893</v>
      </c>
      <c r="J25" s="79">
        <f>IF(AND(ISNUMBER('Datos del mes'!J27),ISNUMBER('Datos del mes'!J26)),IF('Datos del mes'!J26&gt;0,'Datos del mes'!J27/'Datos del mes'!J26,""),"")</f>
        <v>0.2857142857142857</v>
      </c>
      <c r="K25" s="79">
        <f>IF(AND(ISNUMBER('Datos del mes'!K27),ISNUMBER('Datos del mes'!K26)),IF('Datos del mes'!K26&gt;0,'Datos del mes'!K27/'Datos del mes'!K26,""),"")</f>
        <v>0.25</v>
      </c>
      <c r="L25" s="79">
        <f>IF(AND(ISNUMBER('Datos del mes'!L27),ISNUMBER('Datos del mes'!L26)),IF('Datos del mes'!L26&gt;0,'Datos del mes'!L27/'Datos del mes'!L26,""),"")</f>
        <v>0.44642857142857145</v>
      </c>
      <c r="M25" s="79">
        <f>IF(AND(ISNUMBER('Datos del mes'!M27),ISNUMBER('Datos del mes'!M26)),IF('Datos del mes'!M26&gt;0,'Datos del mes'!M27/'Datos del mes'!M26,""),"")</f>
        <v>0.42857142857142855</v>
      </c>
      <c r="N25" s="79" t="str">
        <f>IF(AND(ISNUMBER('Datos del mes'!N27),ISNUMBER('Datos del mes'!N26)),IF('Datos del mes'!N26&gt;0,'Datos del mes'!N27/'Datos del mes'!N26,""),"")</f>
        <v/>
      </c>
      <c r="O25" s="79" t="str">
        <f>IF(AND(ISNUMBER('Datos del mes'!O27),ISNUMBER('Datos del mes'!O26)),IF('Datos del mes'!O26&gt;0,'Datos del mes'!O27/'Datos del mes'!O26,""),"")</f>
        <v/>
      </c>
      <c r="P25" s="80">
        <f>IF(COUNT(D25:O25)=0,"",SUMIFS('Datos del mes'!D27:O27,D25:O25,"&gt;=0")/SUMIFS('Datos del mes'!D26:O26,D25:O25,"&gt;=0"))</f>
        <v>0.40579710144927539</v>
      </c>
      <c r="Q25" s="86">
        <f>Objetivos!$D$11</f>
        <v>0.4</v>
      </c>
      <c r="R25" s="82">
        <f>Objetivos!$D$11-Objetivos!$E$11/100</f>
        <v>0.32</v>
      </c>
    </row>
    <row r="26" spans="2:18" ht="19" customHeight="1" x14ac:dyDescent="0.2">
      <c r="B26" s="59" t="s">
        <v>155</v>
      </c>
      <c r="C26" s="60" t="s">
        <v>145</v>
      </c>
      <c r="D26" s="79">
        <f>IF(AND(ISNUMBER('Datos del mes'!D27),ISNUMBER('Datos del mes'!D25)),IF('Datos del mes'!D25&gt;0,'Datos del mes'!D27/'Datos del mes'!D25,""),"")</f>
        <v>0.19565217391304349</v>
      </c>
      <c r="E26" s="79">
        <f>IF(AND(ISNUMBER('Datos del mes'!E27),ISNUMBER('Datos del mes'!E25)),IF('Datos del mes'!E25&gt;0,'Datos del mes'!E27/'Datos del mes'!E25,""),"")</f>
        <v>0.1875</v>
      </c>
      <c r="F26" s="79">
        <f>IF(AND(ISNUMBER('Datos del mes'!F27),ISNUMBER('Datos del mes'!F25)),IF('Datos del mes'!F25&gt;0,'Datos del mes'!F27/'Datos del mes'!F25,""),"")</f>
        <v>0.17241379310344829</v>
      </c>
      <c r="G26" s="79">
        <f>IF(AND(ISNUMBER('Datos del mes'!G27),ISNUMBER('Datos del mes'!G25)),IF('Datos del mes'!G25&gt;0,'Datos del mes'!G27/'Datos del mes'!G25,""),"")</f>
        <v>0.17307692307692307</v>
      </c>
      <c r="H26" s="79">
        <f>IF(AND(ISNUMBER('Datos del mes'!H27),ISNUMBER('Datos del mes'!H25)),IF('Datos del mes'!H25&gt;0,'Datos del mes'!H27/'Datos del mes'!H25,""),"")</f>
        <v>0.16363636363636364</v>
      </c>
      <c r="I26" s="79">
        <f>IF(AND(ISNUMBER('Datos del mes'!I27),ISNUMBER('Datos del mes'!I25)),IF('Datos del mes'!I25&gt;0,'Datos del mes'!I27/'Datos del mes'!I25,""),"")</f>
        <v>0.14893617021276595</v>
      </c>
      <c r="J26" s="79">
        <f>IF(AND(ISNUMBER('Datos del mes'!J27),ISNUMBER('Datos del mes'!J25)),IF('Datos del mes'!J25&gt;0,'Datos del mes'!J27/'Datos del mes'!J25,""),"")</f>
        <v>0.12121212121212122</v>
      </c>
      <c r="K26" s="79">
        <f>IF(AND(ISNUMBER('Datos del mes'!K27),ISNUMBER('Datos del mes'!K25)),IF('Datos del mes'!K25&gt;0,'Datos del mes'!K27/'Datos del mes'!K25,""),"")</f>
        <v>7.8947368421052627E-2</v>
      </c>
      <c r="L26" s="79">
        <f>IF(AND(ISNUMBER('Datos del mes'!L27),ISNUMBER('Datos del mes'!L25)),IF('Datos del mes'!L25&gt;0,'Datos del mes'!L27/'Datos del mes'!L25,""),"")</f>
        <v>0.21186440677966101</v>
      </c>
      <c r="M26" s="79">
        <f>IF(AND(ISNUMBER('Datos del mes'!M27),ISNUMBER('Datos del mes'!M25)),IF('Datos del mes'!M25&gt;0,'Datos del mes'!M27/'Datos del mes'!M25,""),"")</f>
        <v>0.19480519480519481</v>
      </c>
      <c r="N26" s="79" t="str">
        <f>IF(AND(ISNUMBER('Datos del mes'!N27),ISNUMBER('Datos del mes'!N25)),IF('Datos del mes'!N25&gt;0,'Datos del mes'!N27/'Datos del mes'!N25,""),"")</f>
        <v/>
      </c>
      <c r="O26" s="79" t="str">
        <f>IF(AND(ISNUMBER('Datos del mes'!O27),ISNUMBER('Datos del mes'!O25)),IF('Datos del mes'!O25&gt;0,'Datos del mes'!O27/'Datos del mes'!O25,""),"")</f>
        <v/>
      </c>
      <c r="P26" s="80">
        <f>IF(COUNT(D26:O26)=0,"",SUMIFS('Datos del mes'!D27:O27,D26:O26,"&gt;=0")/SUMIFS('Datos del mes'!D25:O25,D26:O26,"&gt;=0"))</f>
        <v>0.17665615141955837</v>
      </c>
      <c r="Q26" s="54"/>
      <c r="R26" s="54"/>
    </row>
    <row r="27" spans="2:18" ht="19" customHeight="1" x14ac:dyDescent="0.2">
      <c r="B27" s="59" t="s">
        <v>156</v>
      </c>
      <c r="C27" s="60" t="s">
        <v>89</v>
      </c>
      <c r="D27" s="66">
        <f>IF(D$37=1,IF(ISNUMBER('Datos del mes'!D28),'Datos del mes'!D28,IF(ISNUMBER('Datos del mes'!D22),'Datos del mes'!D22,"")),"")</f>
        <v>1350</v>
      </c>
      <c r="E27" s="66">
        <f>IF(E$37=1,IF(ISNUMBER('Datos del mes'!E28),'Datos del mes'!E28,IF(ISNUMBER('Datos del mes'!E22),'Datos del mes'!E22,"")),"")</f>
        <v>750</v>
      </c>
      <c r="F27" s="66">
        <f>IF(F$37=1,IF(ISNUMBER('Datos del mes'!F28),'Datos del mes'!F28,IF(ISNUMBER('Datos del mes'!F22),'Datos del mes'!F22,"")),"")</f>
        <v>650</v>
      </c>
      <c r="G27" s="66">
        <f>IF(G$37=1,IF(ISNUMBER('Datos del mes'!G28),'Datos del mes'!G28,IF(ISNUMBER('Datos del mes'!G22),'Datos del mes'!G22,"")),"")</f>
        <v>600</v>
      </c>
      <c r="H27" s="66">
        <f>IF(H$37=1,IF(ISNUMBER('Datos del mes'!H28),'Datos del mes'!H28,IF(ISNUMBER('Datos del mes'!H22),'Datos del mes'!H22,"")),"")</f>
        <v>650</v>
      </c>
      <c r="I27" s="66">
        <f>IF(I$37=1,IF(ISNUMBER('Datos del mes'!I28),'Datos del mes'!I28,IF(ISNUMBER('Datos del mes'!I22),'Datos del mes'!I22,"")),"")</f>
        <v>550</v>
      </c>
      <c r="J27" s="66">
        <f>IF(J$37=1,IF(ISNUMBER('Datos del mes'!J28),'Datos del mes'!J28,IF(ISNUMBER('Datos del mes'!J22),'Datos del mes'!J22,"")),"")</f>
        <v>500</v>
      </c>
      <c r="K27" s="66">
        <f>IF(K$37=1,IF(ISNUMBER('Datos del mes'!K28),'Datos del mes'!K28,IF(ISNUMBER('Datos del mes'!K22),'Datos del mes'!K22,"")),"")</f>
        <v>950</v>
      </c>
      <c r="L27" s="66">
        <f>IF(L$37=1,IF(ISNUMBER('Datos del mes'!L28),'Datos del mes'!L28,IF(ISNUMBER('Datos del mes'!L22),'Datos del mes'!L22,"")),"")</f>
        <v>1650</v>
      </c>
      <c r="M27" s="66">
        <f>IF(M$37=1,IF(ISNUMBER('Datos del mes'!M28),'Datos del mes'!M28,IF(ISNUMBER('Datos del mes'!M22),'Datos del mes'!M22,"")),"")</f>
        <v>1150</v>
      </c>
      <c r="N27" s="66" t="str">
        <f>IF(N$37=1,IF(ISNUMBER('Datos del mes'!N28),'Datos del mes'!N28,IF(ISNUMBER('Datos del mes'!N22),'Datos del mes'!N22,"")),"")</f>
        <v/>
      </c>
      <c r="O27" s="66" t="str">
        <f>IF(O$37=1,IF(ISNUMBER('Datos del mes'!O28),'Datos del mes'!O28,IF(ISNUMBER('Datos del mes'!O22),'Datos del mes'!O22,"")),"")</f>
        <v/>
      </c>
      <c r="P27" s="83">
        <f>IF(COUNT(D27:O27)=0,"",SUM(D27:O27))</f>
        <v>8800</v>
      </c>
      <c r="Q27" s="54"/>
      <c r="R27" s="54"/>
    </row>
    <row r="28" spans="2:18" ht="19" customHeight="1" x14ac:dyDescent="0.2">
      <c r="B28" s="65" t="s">
        <v>51</v>
      </c>
      <c r="C28" s="60" t="s">
        <v>89</v>
      </c>
      <c r="D28" s="66">
        <f t="shared" ref="D28:O28" si="8">IF(AND(ISNUMBER(D27),ISNUMBER(D8)),IF(D8&gt;0,D27/D8,""),"")</f>
        <v>56.25</v>
      </c>
      <c r="E28" s="66">
        <f t="shared" si="8"/>
        <v>50</v>
      </c>
      <c r="F28" s="66">
        <f t="shared" si="8"/>
        <v>50</v>
      </c>
      <c r="G28" s="66">
        <f t="shared" si="8"/>
        <v>54.545454545454547</v>
      </c>
      <c r="H28" s="66">
        <f t="shared" si="8"/>
        <v>54.166666666666664</v>
      </c>
      <c r="I28" s="66">
        <f t="shared" si="8"/>
        <v>61.111111111111114</v>
      </c>
      <c r="J28" s="66">
        <f t="shared" si="8"/>
        <v>83.333333333333329</v>
      </c>
      <c r="K28" s="66">
        <f t="shared" si="8"/>
        <v>190</v>
      </c>
      <c r="L28" s="66">
        <f t="shared" si="8"/>
        <v>53.225806451612904</v>
      </c>
      <c r="M28" s="66">
        <f t="shared" si="8"/>
        <v>63.888888888888886</v>
      </c>
      <c r="N28" s="66" t="str">
        <f t="shared" si="8"/>
        <v/>
      </c>
      <c r="O28" s="66" t="str">
        <f t="shared" si="8"/>
        <v/>
      </c>
      <c r="P28" s="83">
        <f>IF(COUNT(D28:O28)=0,"",SUMIFS(D27:O27,D28:O28,"&gt;=0")/SUMIFS(D8:O8,D28:O28,"&gt;=0"))</f>
        <v>61.111111111111114</v>
      </c>
      <c r="Q28" s="89">
        <f>Objetivos!$D$12</f>
        <v>70</v>
      </c>
      <c r="R28" s="90">
        <f>Objetivos!$D$12+Objetivos!$E$12</f>
        <v>100</v>
      </c>
    </row>
    <row r="29" spans="2:18" ht="19" customHeight="1" x14ac:dyDescent="0.2">
      <c r="B29" s="59" t="s">
        <v>157</v>
      </c>
      <c r="C29" s="60" t="s">
        <v>89</v>
      </c>
      <c r="D29" s="66">
        <f t="shared" ref="D29:P29" si="9">IF(AND(ISNUMBER(D20),ISNUMBER(D18),ISNUMBER(D12)),IF(D12&gt;0,D20*MAX(D18,0)/D12,""),"")</f>
        <v>286.45220168834135</v>
      </c>
      <c r="E29" s="66">
        <f t="shared" si="9"/>
        <v>445.04420432220041</v>
      </c>
      <c r="F29" s="66">
        <f t="shared" si="9"/>
        <v>461.97435897435901</v>
      </c>
      <c r="G29" s="66">
        <f t="shared" si="9"/>
        <v>415.207619047619</v>
      </c>
      <c r="H29" s="66">
        <f t="shared" si="9"/>
        <v>433.72089011557705</v>
      </c>
      <c r="I29" s="66">
        <f t="shared" si="9"/>
        <v>307.19475553127558</v>
      </c>
      <c r="J29" s="66">
        <f t="shared" si="9"/>
        <v>123.08910891089107</v>
      </c>
      <c r="K29" s="66">
        <f t="shared" si="9"/>
        <v>11.455882352941176</v>
      </c>
      <c r="L29" s="66">
        <f t="shared" si="9"/>
        <v>300.24439918533602</v>
      </c>
      <c r="M29" s="66">
        <f t="shared" si="9"/>
        <v>380.01274697259396</v>
      </c>
      <c r="N29" s="66" t="str">
        <f t="shared" si="9"/>
        <v/>
      </c>
      <c r="O29" s="66" t="str">
        <f t="shared" si="9"/>
        <v/>
      </c>
      <c r="P29" s="83">
        <f t="shared" si="9"/>
        <v>280.18095336573259</v>
      </c>
      <c r="Q29" s="54"/>
      <c r="R29" s="54"/>
    </row>
    <row r="30" spans="2:18" ht="19" customHeight="1" x14ac:dyDescent="0.2">
      <c r="B30" s="65" t="s">
        <v>53</v>
      </c>
      <c r="C30" s="60" t="s">
        <v>158</v>
      </c>
      <c r="D30" s="91">
        <f t="shared" ref="D30:P30" si="10">IF(AND(ISNUMBER(D29),ISNUMBER(D28)),IF(D28&gt;0,D29/D28,""),"")</f>
        <v>5.0924835855705126</v>
      </c>
      <c r="E30" s="91">
        <f t="shared" si="10"/>
        <v>8.9008840864440089</v>
      </c>
      <c r="F30" s="91">
        <f t="shared" si="10"/>
        <v>9.2394871794871793</v>
      </c>
      <c r="G30" s="91">
        <f t="shared" si="10"/>
        <v>7.6121396825396817</v>
      </c>
      <c r="H30" s="91">
        <f t="shared" si="10"/>
        <v>8.0071548944414221</v>
      </c>
      <c r="I30" s="91">
        <f t="shared" si="10"/>
        <v>5.0268232723299633</v>
      </c>
      <c r="J30" s="91">
        <f t="shared" si="10"/>
        <v>1.4770693069306928</v>
      </c>
      <c r="K30" s="91">
        <f t="shared" si="10"/>
        <v>6.0294117647058817E-2</v>
      </c>
      <c r="L30" s="91">
        <f t="shared" si="10"/>
        <v>5.6409553786335858</v>
      </c>
      <c r="M30" s="91">
        <f t="shared" si="10"/>
        <v>5.9480256047884277</v>
      </c>
      <c r="N30" s="91" t="str">
        <f t="shared" si="10"/>
        <v/>
      </c>
      <c r="O30" s="91" t="str">
        <f t="shared" si="10"/>
        <v/>
      </c>
      <c r="P30" s="92">
        <f t="shared" si="10"/>
        <v>4.5847792368938061</v>
      </c>
      <c r="Q30" s="93">
        <f>Objetivos!$D$13</f>
        <v>3</v>
      </c>
      <c r="R30" s="94">
        <f>Objetivos!$D$13-Objetivos!$E$13</f>
        <v>2</v>
      </c>
    </row>
    <row r="31" spans="2:18" ht="20" customHeight="1" x14ac:dyDescent="0.2">
      <c r="B31" s="57" t="s">
        <v>105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</row>
    <row r="32" spans="2:18" ht="19" customHeight="1" x14ac:dyDescent="0.2">
      <c r="B32" s="65" t="s">
        <v>58</v>
      </c>
      <c r="C32" s="60" t="s">
        <v>145</v>
      </c>
      <c r="D32" s="79">
        <f>IF(AND(ISNUMBER('Datos del mes'!D31),ISNUMBER('Datos del mes'!D30)),IF('Datos del mes'!D30&gt;0,'Datos del mes'!D31/'Datos del mes'!D30,""),"")</f>
        <v>0.73979591836734693</v>
      </c>
      <c r="E32" s="79">
        <f>IF(AND(ISNUMBER('Datos del mes'!E31),ISNUMBER('Datos del mes'!E30)),IF('Datos del mes'!E30&gt;0,'Datos del mes'!E31/'Datos del mes'!E30,""),"")</f>
        <v>0.73936170212765961</v>
      </c>
      <c r="F32" s="79">
        <f>IF(AND(ISNUMBER('Datos del mes'!F31),ISNUMBER('Datos del mes'!F30)),IF('Datos del mes'!F30&gt;0,'Datos del mes'!F31/'Datos del mes'!F30,""),"")</f>
        <v>0.71938775510204078</v>
      </c>
      <c r="G32" s="79">
        <f>IF(AND(ISNUMBER('Datos del mes'!G31),ISNUMBER('Datos del mes'!G30)),IF('Datos del mes'!G30&gt;0,'Datos del mes'!G31/'Datos del mes'!G30,""),"")</f>
        <v>0.68681318681318682</v>
      </c>
      <c r="H32" s="79">
        <f>IF(AND(ISNUMBER('Datos del mes'!H31),ISNUMBER('Datos del mes'!H30)),IF('Datos del mes'!H30&gt;0,'Datos del mes'!H31/'Datos del mes'!H30,""),"")</f>
        <v>0.6785714285714286</v>
      </c>
      <c r="I32" s="79">
        <f>IF(AND(ISNUMBER('Datos del mes'!I31),ISNUMBER('Datos del mes'!I30)),IF('Datos del mes'!I30&gt;0,'Datos del mes'!I31/'Datos del mes'!I30,""),"")</f>
        <v>0.63829787234042556</v>
      </c>
      <c r="J32" s="79">
        <f>IF(AND(ISNUMBER('Datos del mes'!J31),ISNUMBER('Datos del mes'!J30)),IF('Datos del mes'!J30&gt;0,'Datos del mes'!J31/'Datos del mes'!J30,""),"")</f>
        <v>0.6</v>
      </c>
      <c r="K32" s="79">
        <f>IF(AND(ISNUMBER('Datos del mes'!K31),ISNUMBER('Datos del mes'!K30)),IF('Datos del mes'!K30&gt;0,'Datos del mes'!K31/'Datos del mes'!K30,""),"")</f>
        <v>0.52857142857142858</v>
      </c>
      <c r="L32" s="79">
        <f>IF(AND(ISNUMBER('Datos del mes'!L31),ISNUMBER('Datos del mes'!L30)),IF('Datos del mes'!L30&gt;0,'Datos del mes'!L31/'Datos del mes'!L30,""),"")</f>
        <v>0.78061224489795922</v>
      </c>
      <c r="M32" s="79">
        <f>IF(AND(ISNUMBER('Datos del mes'!M31),ISNUMBER('Datos del mes'!M30)),IF('Datos del mes'!M30&gt;0,'Datos del mes'!M31/'Datos del mes'!M30,""),"")</f>
        <v>0.75</v>
      </c>
      <c r="N32" s="79" t="str">
        <f>IF(AND(ISNUMBER('Datos del mes'!N31),ISNUMBER('Datos del mes'!N30)),IF('Datos del mes'!N30&gt;0,'Datos del mes'!N31/'Datos del mes'!N30,""),"")</f>
        <v/>
      </c>
      <c r="O32" s="79" t="str">
        <f>IF(AND(ISNUMBER('Datos del mes'!O31),ISNUMBER('Datos del mes'!O30)),IF('Datos del mes'!O30&gt;0,'Datos del mes'!O31/'Datos del mes'!O30,""),"")</f>
        <v/>
      </c>
      <c r="P32" s="80">
        <f>IF(COUNT(D32:O32)=0,"",SUMIFS('Datos del mes'!D31:O31,D32:O32,"&gt;=0")/SUMIFS('Datos del mes'!D30:O30,D32:O32,"&gt;=0"))</f>
        <v>0.69272529858849075</v>
      </c>
      <c r="Q32" s="86">
        <f>Objetivos!$D$17</f>
        <v>0.65</v>
      </c>
      <c r="R32" s="82">
        <f>Objetivos!$D$17-Objetivos!$E$17/100</f>
        <v>0.55000000000000004</v>
      </c>
    </row>
    <row r="33" spans="2:18" ht="19" customHeight="1" x14ac:dyDescent="0.2">
      <c r="B33" s="59" t="s">
        <v>159</v>
      </c>
      <c r="C33" s="60" t="s">
        <v>67</v>
      </c>
      <c r="D33" s="95">
        <f>IF(AND(ISNUMBER('Datos del mes'!D31),ISNUMBER(D38)),IF(D38&gt;0,'Datos del mes'!D31/D38,""),"")</f>
        <v>5.9548254620123204</v>
      </c>
      <c r="E33" s="95">
        <f>IF(AND(ISNUMBER('Datos del mes'!E31),ISNUMBER(E38)),IF(E38&gt;0,'Datos del mes'!E31/E38,""),"")</f>
        <v>5.461689587426326</v>
      </c>
      <c r="F33" s="95">
        <f>IF(AND(ISNUMBER('Datos del mes'!F31),ISNUMBER(F38)),IF(F38&gt;0,'Datos del mes'!F31/F38,""),"")</f>
        <v>5.4230769230769234</v>
      </c>
      <c r="G33" s="95">
        <f>IF(AND(ISNUMBER('Datos del mes'!G31),ISNUMBER(G38)),IF(G38&gt;0,'Datos del mes'!G31/G38,""),"")</f>
        <v>4.7619047619047619</v>
      </c>
      <c r="H33" s="95">
        <f>IF(AND(ISNUMBER('Datos del mes'!H31),ISNUMBER(H38)),IF(H38&gt;0,'Datos del mes'!H31/H38,""),"")</f>
        <v>5.0474383301707784</v>
      </c>
      <c r="I33" s="95">
        <f>IF(AND(ISNUMBER('Datos del mes'!I31),ISNUMBER(I38)),IF(I38&gt;0,'Datos del mes'!I31/I38,""),"")</f>
        <v>4.5889101338432123</v>
      </c>
      <c r="J33" s="95">
        <f>IF(AND(ISNUMBER('Datos del mes'!J31),ISNUMBER(J38)),IF(J38&gt;0,'Datos del mes'!J31/J38,""),"")</f>
        <v>3.8019801980198018</v>
      </c>
      <c r="K33" s="95">
        <f>IF(AND(ISNUMBER('Datos del mes'!K31),ISNUMBER(K38)),IF(K38&gt;0,'Datos del mes'!K31/K38,""),"")</f>
        <v>3.0833333333333335</v>
      </c>
      <c r="L33" s="95">
        <f>IF(AND(ISNUMBER('Datos del mes'!L31),ISNUMBER(L38)),IF(L38&gt;0,'Datos del mes'!L31/L38,""),"")</f>
        <v>6.2321792260692463</v>
      </c>
      <c r="M33" s="95">
        <f>IF(AND(ISNUMBER('Datos del mes'!M31),ISNUMBER(M38)),IF(M38&gt;0,'Datos del mes'!M31/M38,""),"")</f>
        <v>5.736137667304015</v>
      </c>
      <c r="N33" s="95" t="str">
        <f>IF(AND(ISNUMBER('Datos del mes'!N31),ISNUMBER(N38)),IF(N38&gt;0,'Datos del mes'!N31/N38,""),"")</f>
        <v/>
      </c>
      <c r="O33" s="95" t="str">
        <f>IF(AND(ISNUMBER('Datos del mes'!O31),ISNUMBER(O38)),IF(O38&gt;0,'Datos del mes'!O31/O38,""),"")</f>
        <v/>
      </c>
      <c r="P33" s="96">
        <f>IF(COUNT(D33:O33)=0,"",SUMIFS('Datos del mes'!D31:O31,D33:O33,"&gt;=0")/SUMIFS(D38:O38,D33:O33,"&gt;=0"))</f>
        <v>5.0137524557956779</v>
      </c>
      <c r="Q33" s="54"/>
      <c r="R33" s="54"/>
    </row>
    <row r="34" spans="2:18" ht="10" customHeight="1" x14ac:dyDescent="0.2"/>
    <row r="35" spans="2:18" ht="20" customHeight="1" x14ac:dyDescent="0.2">
      <c r="B35" s="57" t="s">
        <v>160</v>
      </c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2:18" ht="19" customHeight="1" x14ac:dyDescent="0.2">
      <c r="B36" s="97" t="s">
        <v>161</v>
      </c>
      <c r="C36" s="60"/>
      <c r="D36" s="98">
        <v>1</v>
      </c>
      <c r="E36" s="98">
        <v>2</v>
      </c>
      <c r="F36" s="98">
        <v>3</v>
      </c>
      <c r="G36" s="98">
        <v>4</v>
      </c>
      <c r="H36" s="98">
        <v>5</v>
      </c>
      <c r="I36" s="98">
        <v>6</v>
      </c>
      <c r="J36" s="98">
        <v>7</v>
      </c>
      <c r="K36" s="98">
        <v>8</v>
      </c>
      <c r="L36" s="98">
        <v>9</v>
      </c>
      <c r="M36" s="98">
        <v>10</v>
      </c>
      <c r="N36" s="98">
        <v>11</v>
      </c>
      <c r="O36" s="98">
        <v>12</v>
      </c>
      <c r="P36" s="98"/>
      <c r="Q36" s="54"/>
      <c r="R36" s="54"/>
    </row>
    <row r="37" spans="2:18" ht="19" customHeight="1" x14ac:dyDescent="0.2">
      <c r="B37" s="97" t="s">
        <v>162</v>
      </c>
      <c r="C37" s="60"/>
      <c r="D37" s="98">
        <f>IF(COUNT('Datos del mes'!D9:D34)&gt;0,1,0)</f>
        <v>1</v>
      </c>
      <c r="E37" s="98">
        <f>IF(COUNT('Datos del mes'!E9:E34)&gt;0,1,0)</f>
        <v>1</v>
      </c>
      <c r="F37" s="98">
        <f>IF(COUNT('Datos del mes'!F9:F34)&gt;0,1,0)</f>
        <v>1</v>
      </c>
      <c r="G37" s="98">
        <f>IF(COUNT('Datos del mes'!G9:G34)&gt;0,1,0)</f>
        <v>1</v>
      </c>
      <c r="H37" s="98">
        <f>IF(COUNT('Datos del mes'!H9:H34)&gt;0,1,0)</f>
        <v>1</v>
      </c>
      <c r="I37" s="98">
        <f>IF(COUNT('Datos del mes'!I9:I34)&gt;0,1,0)</f>
        <v>1</v>
      </c>
      <c r="J37" s="98">
        <f>IF(COUNT('Datos del mes'!J9:J34)&gt;0,1,0)</f>
        <v>1</v>
      </c>
      <c r="K37" s="98">
        <f>IF(COUNT('Datos del mes'!K9:K34)&gt;0,1,0)</f>
        <v>1</v>
      </c>
      <c r="L37" s="98">
        <f>IF(COUNT('Datos del mes'!L9:L34)&gt;0,1,0)</f>
        <v>1</v>
      </c>
      <c r="M37" s="98">
        <f>IF(COUNT('Datos del mes'!M9:M34)&gt;0,1,0)</f>
        <v>1</v>
      </c>
      <c r="N37" s="98">
        <f>IF(COUNT('Datos del mes'!N9:N34)&gt;0,1,0)</f>
        <v>0</v>
      </c>
      <c r="O37" s="98">
        <f>IF(COUNT('Datos del mes'!O9:O34)&gt;0,1,0)</f>
        <v>0</v>
      </c>
      <c r="P37" s="98">
        <f>SUM(D37:O37)</f>
        <v>10</v>
      </c>
      <c r="Q37" s="54"/>
      <c r="R37" s="54"/>
    </row>
    <row r="38" spans="2:18" ht="19" customHeight="1" x14ac:dyDescent="0.2">
      <c r="B38" s="97" t="s">
        <v>163</v>
      </c>
      <c r="C38" s="60" t="s">
        <v>67</v>
      </c>
      <c r="D38" s="99">
        <f t="shared" ref="D38:O38" si="11">IF(AND(ISNUMBER(D7),ISNUMBER(D10)),(D7+D10)/2,"")</f>
        <v>243.5</v>
      </c>
      <c r="E38" s="99">
        <f t="shared" si="11"/>
        <v>254.5</v>
      </c>
      <c r="F38" s="99">
        <f t="shared" si="11"/>
        <v>260</v>
      </c>
      <c r="G38" s="99">
        <f t="shared" si="11"/>
        <v>262.5</v>
      </c>
      <c r="H38" s="99">
        <f t="shared" si="11"/>
        <v>263.5</v>
      </c>
      <c r="I38" s="99">
        <f t="shared" si="11"/>
        <v>261.5</v>
      </c>
      <c r="J38" s="99">
        <f t="shared" si="11"/>
        <v>252.5</v>
      </c>
      <c r="K38" s="99">
        <f t="shared" si="11"/>
        <v>240</v>
      </c>
      <c r="L38" s="99">
        <f t="shared" si="11"/>
        <v>245.5</v>
      </c>
      <c r="M38" s="99">
        <f t="shared" si="11"/>
        <v>261.5</v>
      </c>
      <c r="N38" s="99" t="str">
        <f t="shared" si="11"/>
        <v/>
      </c>
      <c r="O38" s="99" t="str">
        <f t="shared" si="11"/>
        <v/>
      </c>
      <c r="P38" s="99"/>
      <c r="Q38" s="54"/>
      <c r="R38" s="54"/>
    </row>
    <row r="39" spans="2:18" ht="19" customHeight="1" x14ac:dyDescent="0.2">
      <c r="B39" s="97" t="s">
        <v>164</v>
      </c>
      <c r="C39" s="60"/>
      <c r="D39" s="98">
        <f t="shared" ref="D39:O39" si="12">IF(D$37=1,D36,0)</f>
        <v>1</v>
      </c>
      <c r="E39" s="98">
        <f t="shared" si="12"/>
        <v>2</v>
      </c>
      <c r="F39" s="98">
        <f t="shared" si="12"/>
        <v>3</v>
      </c>
      <c r="G39" s="98">
        <f t="shared" si="12"/>
        <v>4</v>
      </c>
      <c r="H39" s="98">
        <f t="shared" si="12"/>
        <v>5</v>
      </c>
      <c r="I39" s="98">
        <f t="shared" si="12"/>
        <v>6</v>
      </c>
      <c r="J39" s="98">
        <f t="shared" si="12"/>
        <v>7</v>
      </c>
      <c r="K39" s="98">
        <f t="shared" si="12"/>
        <v>8</v>
      </c>
      <c r="L39" s="98">
        <f t="shared" si="12"/>
        <v>9</v>
      </c>
      <c r="M39" s="98">
        <f t="shared" si="12"/>
        <v>10</v>
      </c>
      <c r="N39" s="98">
        <f t="shared" si="12"/>
        <v>0</v>
      </c>
      <c r="O39" s="98">
        <f t="shared" si="12"/>
        <v>0</v>
      </c>
      <c r="P39" s="98">
        <f>MAX(D39:O39)</f>
        <v>10</v>
      </c>
      <c r="Q39" s="54"/>
      <c r="R39" s="54"/>
    </row>
    <row r="41" spans="2:18" ht="20" customHeight="1" x14ac:dyDescent="0.2">
      <c r="B41" s="128" t="s">
        <v>165</v>
      </c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</row>
  </sheetData>
  <mergeCells count="1">
    <mergeCell ref="B41:R41"/>
  </mergeCells>
  <conditionalFormatting sqref="D32:O33 D23:O30 D15:O21 D7:O13">
    <cfRule type="expression" dxfId="25" priority="25">
      <formula>D$37=0</formula>
    </cfRule>
  </conditionalFormatting>
  <conditionalFormatting sqref="D12:P12">
    <cfRule type="expression" dxfId="24" priority="1">
      <formula>AND(ISNUMBER(D12),D12&lt;=$Q12)</formula>
    </cfRule>
    <cfRule type="expression" dxfId="23" priority="2">
      <formula>AND(ISNUMBER(D12),AND(D12&gt;$Q12,D12&lt;=$R12))</formula>
    </cfRule>
    <cfRule type="expression" dxfId="22" priority="3">
      <formula>AND(ISNUMBER(D12),D12&gt;$R12)</formula>
    </cfRule>
  </conditionalFormatting>
  <conditionalFormatting sqref="D17:P17">
    <cfRule type="expression" dxfId="21" priority="26">
      <formula>AND(ISNUMBER(D17),D17&lt;0)</formula>
    </cfRule>
  </conditionalFormatting>
  <conditionalFormatting sqref="D18:P18">
    <cfRule type="expression" dxfId="20" priority="6">
      <formula>AND(ISNUMBER(D18),D18&lt;$R18)</formula>
    </cfRule>
    <cfRule type="expression" dxfId="19" priority="5">
      <formula>AND(ISNUMBER(D18),AND(D18&lt;$Q18,D18&gt;=$R18))</formula>
    </cfRule>
    <cfRule type="expression" dxfId="18" priority="4">
      <formula>AND(ISNUMBER(D18),D18&gt;=$Q18)</formula>
    </cfRule>
  </conditionalFormatting>
  <conditionalFormatting sqref="D19:P19">
    <cfRule type="expression" dxfId="17" priority="7">
      <formula>AND(ISNUMBER(D19),D19&lt;=$Q19)</formula>
    </cfRule>
    <cfRule type="expression" dxfId="16" priority="8">
      <formula>AND(ISNUMBER(D19),AND(D19&gt;$Q19,D19&lt;=$R19))</formula>
    </cfRule>
    <cfRule type="expression" dxfId="15" priority="9">
      <formula>AND(ISNUMBER(D19),D19&gt;$R19)</formula>
    </cfRule>
  </conditionalFormatting>
  <conditionalFormatting sqref="D21:P21">
    <cfRule type="expression" dxfId="14" priority="10">
      <formula>AND(ISNUMBER(D21),D21&lt;=$Q21)</formula>
    </cfRule>
    <cfRule type="expression" dxfId="13" priority="11">
      <formula>AND(ISNUMBER(D21),AND(D21&gt;$Q21,D21&lt;=$R21))</formula>
    </cfRule>
    <cfRule type="expression" dxfId="12" priority="12">
      <formula>AND(ISNUMBER(D21),D21&gt;$R21)</formula>
    </cfRule>
  </conditionalFormatting>
  <conditionalFormatting sqref="D25:P25">
    <cfRule type="expression" dxfId="11" priority="13">
      <formula>AND(ISNUMBER(D25),D25&gt;=$Q25)</formula>
    </cfRule>
    <cfRule type="expression" dxfId="10" priority="15">
      <formula>AND(ISNUMBER(D25),D25&lt;$R25)</formula>
    </cfRule>
    <cfRule type="expression" dxfId="9" priority="14">
      <formula>AND(ISNUMBER(D25),AND(D25&lt;$Q25,D25&gt;=$R25))</formula>
    </cfRule>
  </conditionalFormatting>
  <conditionalFormatting sqref="D28:P28">
    <cfRule type="expression" dxfId="8" priority="16">
      <formula>AND(ISNUMBER(D28),D28&lt;=$Q28)</formula>
    </cfRule>
    <cfRule type="expression" dxfId="7" priority="17">
      <formula>AND(ISNUMBER(D28),AND(D28&gt;$Q28,D28&lt;=$R28))</formula>
    </cfRule>
    <cfRule type="expression" dxfId="6" priority="18">
      <formula>AND(ISNUMBER(D28),D28&gt;$R28)</formula>
    </cfRule>
  </conditionalFormatting>
  <conditionalFormatting sqref="D30:P30">
    <cfRule type="expression" dxfId="5" priority="19">
      <formula>AND(ISNUMBER(D30),D30&gt;=$Q30)</formula>
    </cfRule>
    <cfRule type="expression" dxfId="4" priority="20">
      <formula>AND(ISNUMBER(D30),AND(D30&lt;$Q30,D30&gt;=$R30))</formula>
    </cfRule>
    <cfRule type="expression" dxfId="3" priority="21">
      <formula>AND(ISNUMBER(D30),D30&lt;$R30)</formula>
    </cfRule>
  </conditionalFormatting>
  <conditionalFormatting sqref="D32:P32">
    <cfRule type="expression" dxfId="2" priority="22">
      <formula>AND(ISNUMBER(D32),D32&gt;=$Q32)</formula>
    </cfRule>
    <cfRule type="expression" dxfId="1" priority="23">
      <formula>AND(ISNUMBER(D32),AND(D32&lt;$Q32,D32&gt;=$R32))</formula>
    </cfRule>
    <cfRule type="expression" dxfId="0" priority="24">
      <formula>AND(ISNUMBER(D32),D32&lt;$R32)</formula>
    </cfRule>
  </conditionalFormatting>
  <printOptions horizontalCentered="1"/>
  <pageMargins left="0.4" right="0.4" top="0.6" bottom="0.55000000000000004" header="0.25" footer="0.25"/>
  <pageSetup paperSize="9" fitToHeight="0" orientation="landscape"/>
  <headerFooter>
    <oddHeader>&amp;L&amp;"Arial,Regular"&amp;8 &amp;K5C697D&amp;A&amp;R&amp;"Arial,Regular"&amp;8 &amp;K5C697Dgymgym.es/recursos</oddHeader>
    <oddFooter>&amp;L&amp;"Arial,Regular"&amp;8 &amp;K5C697DCuadro de mando mensual · Plantilla gratuita de GymGym&amp;R&amp;"Arial,Regular"&amp;8 &amp;K5C697DPágina &amp;P de &amp;N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C697D"/>
    <pageSetUpPr fitToPage="1"/>
  </sheetPr>
  <dimension ref="B1:F26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.5" customWidth="1"/>
    <col min="2" max="2" width="26" customWidth="1"/>
    <col min="3" max="3" width="34" customWidth="1"/>
    <col min="4" max="4" width="42" customWidth="1"/>
    <col min="5" max="5" width="40" customWidth="1"/>
    <col min="6" max="6" width="34" customWidth="1"/>
  </cols>
  <sheetData>
    <row r="1" spans="2:6" ht="30" customHeight="1" x14ac:dyDescent="0.2">
      <c r="B1" s="19" t="s">
        <v>166</v>
      </c>
    </row>
    <row r="2" spans="2:6" ht="20" customHeight="1" x14ac:dyDescent="0.2">
      <c r="B2" s="8" t="s">
        <v>167</v>
      </c>
    </row>
    <row r="3" spans="2:6" ht="5" customHeight="1" x14ac:dyDescent="0.2">
      <c r="B3" s="3"/>
      <c r="C3" s="3"/>
      <c r="D3" s="3"/>
      <c r="E3" s="3"/>
      <c r="F3" s="3"/>
    </row>
    <row r="4" spans="2:6" ht="10" customHeight="1" x14ac:dyDescent="0.2"/>
    <row r="5" spans="2:6" ht="24" customHeight="1" x14ac:dyDescent="0.2">
      <c r="B5" s="50" t="s">
        <v>38</v>
      </c>
      <c r="C5" s="50" t="s">
        <v>168</v>
      </c>
      <c r="D5" s="50" t="s">
        <v>169</v>
      </c>
      <c r="E5" s="50" t="s">
        <v>170</v>
      </c>
      <c r="F5" s="50" t="s">
        <v>171</v>
      </c>
    </row>
    <row r="6" spans="2:6" ht="20" customHeight="1" x14ac:dyDescent="0.2">
      <c r="B6" s="57" t="s">
        <v>84</v>
      </c>
      <c r="C6" s="58"/>
      <c r="D6" s="58"/>
      <c r="E6" s="58"/>
      <c r="F6" s="58"/>
    </row>
    <row r="7" spans="2:6" ht="55" customHeight="1" x14ac:dyDescent="0.2">
      <c r="B7" s="100" t="s">
        <v>118</v>
      </c>
      <c r="C7" s="101" t="s">
        <v>172</v>
      </c>
      <c r="D7" s="101" t="s">
        <v>173</v>
      </c>
      <c r="E7" s="101" t="s">
        <v>174</v>
      </c>
      <c r="F7" s="102" t="s">
        <v>175</v>
      </c>
    </row>
    <row r="8" spans="2:6" ht="32" customHeight="1" x14ac:dyDescent="0.2">
      <c r="B8" s="100" t="s">
        <v>176</v>
      </c>
      <c r="C8" s="101" t="s">
        <v>177</v>
      </c>
      <c r="D8" s="101" t="s">
        <v>178</v>
      </c>
      <c r="E8" s="101" t="s">
        <v>179</v>
      </c>
      <c r="F8" s="102" t="s">
        <v>180</v>
      </c>
    </row>
    <row r="9" spans="2:6" ht="55" customHeight="1" x14ac:dyDescent="0.2">
      <c r="B9" s="100" t="s">
        <v>119</v>
      </c>
      <c r="C9" s="101" t="s">
        <v>181</v>
      </c>
      <c r="D9" s="101" t="s">
        <v>182</v>
      </c>
      <c r="E9" s="101" t="s">
        <v>183</v>
      </c>
      <c r="F9" s="102" t="s">
        <v>184</v>
      </c>
    </row>
    <row r="10" spans="2:6" ht="43.5" customHeight="1" x14ac:dyDescent="0.2">
      <c r="B10" s="100" t="s">
        <v>146</v>
      </c>
      <c r="C10" s="101" t="s">
        <v>185</v>
      </c>
      <c r="D10" s="101" t="s">
        <v>186</v>
      </c>
      <c r="E10" s="101" t="s">
        <v>187</v>
      </c>
      <c r="F10" s="102" t="s">
        <v>188</v>
      </c>
    </row>
    <row r="11" spans="2:6" ht="20" customHeight="1" x14ac:dyDescent="0.2">
      <c r="B11" s="57" t="s">
        <v>147</v>
      </c>
      <c r="C11" s="58"/>
      <c r="D11" s="58"/>
      <c r="E11" s="58"/>
      <c r="F11" s="58"/>
    </row>
    <row r="12" spans="2:6" ht="43.5" customHeight="1" x14ac:dyDescent="0.2">
      <c r="B12" s="100" t="s">
        <v>150</v>
      </c>
      <c r="C12" s="101" t="s">
        <v>189</v>
      </c>
      <c r="D12" s="101" t="s">
        <v>190</v>
      </c>
      <c r="E12" s="101" t="s">
        <v>191</v>
      </c>
      <c r="F12" s="102" t="s">
        <v>192</v>
      </c>
    </row>
    <row r="13" spans="2:6" ht="43.5" customHeight="1" x14ac:dyDescent="0.2">
      <c r="B13" s="100" t="s">
        <v>54</v>
      </c>
      <c r="C13" s="101" t="s">
        <v>193</v>
      </c>
      <c r="D13" s="101" t="s">
        <v>194</v>
      </c>
      <c r="E13" s="101" t="s">
        <v>195</v>
      </c>
      <c r="F13" s="102" t="s">
        <v>196</v>
      </c>
    </row>
    <row r="14" spans="2:6" ht="55" customHeight="1" x14ac:dyDescent="0.2">
      <c r="B14" s="100" t="s">
        <v>55</v>
      </c>
      <c r="C14" s="101" t="s">
        <v>197</v>
      </c>
      <c r="D14" s="101" t="s">
        <v>198</v>
      </c>
      <c r="E14" s="101" t="s">
        <v>199</v>
      </c>
      <c r="F14" s="102" t="s">
        <v>200</v>
      </c>
    </row>
    <row r="15" spans="2:6" ht="43.5" customHeight="1" x14ac:dyDescent="0.2">
      <c r="B15" s="100" t="s">
        <v>151</v>
      </c>
      <c r="C15" s="101" t="s">
        <v>201</v>
      </c>
      <c r="D15" s="101" t="s">
        <v>202</v>
      </c>
      <c r="E15" s="101" t="s">
        <v>203</v>
      </c>
      <c r="F15" s="102" t="s">
        <v>204</v>
      </c>
    </row>
    <row r="16" spans="2:6" ht="43.5" customHeight="1" x14ac:dyDescent="0.2">
      <c r="B16" s="100" t="s">
        <v>57</v>
      </c>
      <c r="C16" s="101" t="s">
        <v>205</v>
      </c>
      <c r="D16" s="101" t="s">
        <v>206</v>
      </c>
      <c r="E16" s="101" t="s">
        <v>207</v>
      </c>
      <c r="F16" s="102" t="s">
        <v>208</v>
      </c>
    </row>
    <row r="17" spans="2:6" ht="20" customHeight="1" x14ac:dyDescent="0.2">
      <c r="B17" s="57" t="s">
        <v>100</v>
      </c>
      <c r="C17" s="58"/>
      <c r="D17" s="58"/>
      <c r="E17" s="58"/>
      <c r="F17" s="58"/>
    </row>
    <row r="18" spans="2:6" ht="43.5" customHeight="1" x14ac:dyDescent="0.2">
      <c r="B18" s="100" t="s">
        <v>154</v>
      </c>
      <c r="C18" s="101" t="s">
        <v>209</v>
      </c>
      <c r="D18" s="101" t="s">
        <v>210</v>
      </c>
      <c r="E18" s="101" t="s">
        <v>211</v>
      </c>
      <c r="F18" s="102" t="s">
        <v>212</v>
      </c>
    </row>
    <row r="19" spans="2:6" ht="32" customHeight="1" x14ac:dyDescent="0.2">
      <c r="B19" s="100" t="s">
        <v>120</v>
      </c>
      <c r="C19" s="101" t="s">
        <v>213</v>
      </c>
      <c r="D19" s="101" t="s">
        <v>214</v>
      </c>
      <c r="E19" s="101" t="s">
        <v>215</v>
      </c>
      <c r="F19" s="102" t="s">
        <v>216</v>
      </c>
    </row>
    <row r="20" spans="2:6" ht="43.5" customHeight="1" x14ac:dyDescent="0.2">
      <c r="B20" s="100" t="s">
        <v>155</v>
      </c>
      <c r="C20" s="101" t="s">
        <v>217</v>
      </c>
      <c r="D20" s="101" t="s">
        <v>218</v>
      </c>
      <c r="E20" s="101" t="s">
        <v>219</v>
      </c>
      <c r="F20" s="102" t="s">
        <v>220</v>
      </c>
    </row>
    <row r="21" spans="2:6" ht="43.5" customHeight="1" x14ac:dyDescent="0.2">
      <c r="B21" s="100" t="s">
        <v>51</v>
      </c>
      <c r="C21" s="101" t="s">
        <v>221</v>
      </c>
      <c r="D21" s="101" t="s">
        <v>222</v>
      </c>
      <c r="E21" s="101" t="s">
        <v>223</v>
      </c>
      <c r="F21" s="102" t="s">
        <v>224</v>
      </c>
    </row>
    <row r="22" spans="2:6" ht="66.5" customHeight="1" x14ac:dyDescent="0.2">
      <c r="B22" s="100" t="s">
        <v>157</v>
      </c>
      <c r="C22" s="101" t="s">
        <v>225</v>
      </c>
      <c r="D22" s="101" t="s">
        <v>226</v>
      </c>
      <c r="E22" s="101" t="s">
        <v>227</v>
      </c>
      <c r="F22" s="102" t="s">
        <v>228</v>
      </c>
    </row>
    <row r="23" spans="2:6" ht="32" customHeight="1" x14ac:dyDescent="0.2">
      <c r="B23" s="100" t="s">
        <v>53</v>
      </c>
      <c r="C23" s="101" t="s">
        <v>229</v>
      </c>
      <c r="D23" s="101" t="s">
        <v>230</v>
      </c>
      <c r="E23" s="101" t="s">
        <v>231</v>
      </c>
      <c r="F23" s="102" t="s">
        <v>232</v>
      </c>
    </row>
    <row r="24" spans="2:6" ht="20" customHeight="1" x14ac:dyDescent="0.2">
      <c r="B24" s="57" t="s">
        <v>105</v>
      </c>
      <c r="C24" s="58"/>
      <c r="D24" s="58"/>
      <c r="E24" s="58"/>
      <c r="F24" s="58"/>
    </row>
    <row r="25" spans="2:6" ht="43.5" customHeight="1" x14ac:dyDescent="0.2">
      <c r="B25" s="100" t="s">
        <v>58</v>
      </c>
      <c r="C25" s="101" t="s">
        <v>233</v>
      </c>
      <c r="D25" s="101" t="s">
        <v>234</v>
      </c>
      <c r="E25" s="101" t="s">
        <v>235</v>
      </c>
      <c r="F25" s="102" t="s">
        <v>236</v>
      </c>
    </row>
    <row r="26" spans="2:6" ht="43.5" customHeight="1" x14ac:dyDescent="0.2">
      <c r="B26" s="100" t="s">
        <v>159</v>
      </c>
      <c r="C26" s="101" t="s">
        <v>237</v>
      </c>
      <c r="D26" s="101" t="s">
        <v>238</v>
      </c>
      <c r="E26" s="101" t="s">
        <v>239</v>
      </c>
      <c r="F26" s="102" t="s">
        <v>240</v>
      </c>
    </row>
  </sheetData>
  <printOptions horizontalCentered="1"/>
  <pageMargins left="0.4" right="0.4" top="0.6" bottom="0.55000000000000004" header="0.25" footer="0.25"/>
  <pageSetup paperSize="9" fitToHeight="0" orientation="landscape"/>
  <headerFooter>
    <oddHeader>&amp;L&amp;"Arial,Regular"&amp;8 &amp;K5C697D&amp;A&amp;R&amp;"Arial,Regular"&amp;8 &amp;K5C697Dgymgym.es/recursos</oddHeader>
    <oddFooter>&amp;L&amp;"Arial,Regular"&amp;8 &amp;K5C697DCuadro de mando mensual · Plantilla gratuita de GymGym&amp;R&amp;"Arial,Regular"&amp;8 &amp;K5C697DPágina &amp;P de &amp;N</oddFooter>
  </headerFooter>
  <rowBreaks count="1" manualBreakCount="1">
    <brk id="1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C697D"/>
  </sheetPr>
  <dimension ref="B1:C9"/>
  <sheetViews>
    <sheetView showGridLines="0" workbookViewId="0"/>
  </sheetViews>
  <sheetFormatPr baseColWidth="10" defaultColWidth="8.83203125" defaultRowHeight="15" x14ac:dyDescent="0.2"/>
  <cols>
    <col min="1" max="1" width="2.5" customWidth="1"/>
    <col min="2" max="2" width="84" customWidth="1"/>
    <col min="3" max="3" width="3" customWidth="1"/>
  </cols>
  <sheetData>
    <row r="1" spans="2:3" ht="30" customHeight="1" x14ac:dyDescent="0.2">
      <c r="B1" s="19" t="s">
        <v>241</v>
      </c>
    </row>
    <row r="2" spans="2:3" ht="20" customHeight="1" x14ac:dyDescent="0.2">
      <c r="B2" s="8" t="s">
        <v>242</v>
      </c>
    </row>
    <row r="3" spans="2:3" ht="5" customHeight="1" x14ac:dyDescent="0.2">
      <c r="B3" s="3"/>
      <c r="C3" s="3"/>
    </row>
    <row r="4" spans="2:3" ht="10" customHeight="1" x14ac:dyDescent="0.2"/>
    <row r="6" spans="2:3" ht="42" customHeight="1" x14ac:dyDescent="0.2">
      <c r="B6" s="2" t="s">
        <v>243</v>
      </c>
    </row>
    <row r="7" spans="2:3" ht="72" customHeight="1" x14ac:dyDescent="0.2">
      <c r="B7" s="2" t="s">
        <v>244</v>
      </c>
    </row>
    <row r="8" spans="2:3" ht="42" customHeight="1" x14ac:dyDescent="0.2">
      <c r="B8" s="2" t="s">
        <v>245</v>
      </c>
    </row>
    <row r="9" spans="2:3" ht="26" customHeight="1" x14ac:dyDescent="0.2">
      <c r="B9" s="14" t="s">
        <v>246</v>
      </c>
    </row>
  </sheetData>
  <hyperlinks>
    <hyperlink ref="B9" r:id="rId1" xr:uid="{00000000-0004-0000-0600-000000000000}"/>
  </hyperlinks>
  <printOptions horizontalCentered="1"/>
  <pageMargins left="0.4" right="0.4" top="0.6" bottom="0.55000000000000004" header="0.25" footer="0.25"/>
  <pageSetup paperSize="9" scale="95" orientation="portrait"/>
  <headerFooter>
    <oddHeader>&amp;L&amp;"Arial,Regular"&amp;8 &amp;K5C697D&amp;A&amp;R&amp;"Arial,Regular"&amp;8 &amp;K5C697Dgymgym.es/recursos</oddHeader>
    <oddFooter>&amp;L&amp;"Arial,Regular"&amp;8 &amp;K5C697DCuadro de mando mensual · Plantilla gratuita de GymGym&amp;R&amp;"Arial,Regular"&amp;8 &amp;K5C697DPágina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5C697D"/>
    <pageSetUpPr fitToPage="1"/>
  </sheetPr>
  <dimension ref="B1:O60"/>
  <sheetViews>
    <sheetView showGridLines="0" workbookViewId="0"/>
  </sheetViews>
  <sheetFormatPr baseColWidth="10" defaultColWidth="8.83203125" defaultRowHeight="15" x14ac:dyDescent="0.2"/>
  <cols>
    <col min="1" max="1" width="2.5" customWidth="1"/>
    <col min="2" max="2" width="34" customWidth="1"/>
    <col min="3" max="15" width="13" customWidth="1"/>
  </cols>
  <sheetData>
    <row r="1" spans="2:3" ht="18" x14ac:dyDescent="0.2">
      <c r="B1" s="103" t="s">
        <v>247</v>
      </c>
    </row>
    <row r="2" spans="2:3" x14ac:dyDescent="0.2">
      <c r="B2" s="8" t="s">
        <v>248</v>
      </c>
    </row>
    <row r="4" spans="2:3" x14ac:dyDescent="0.2">
      <c r="B4" s="8" t="s">
        <v>249</v>
      </c>
      <c r="C4" s="104" t="str">
        <f>IF(Panel!$AH$2="","",Panel!$AH$2)</f>
        <v>Último mes con datos</v>
      </c>
    </row>
    <row r="5" spans="2:3" x14ac:dyDescent="0.2">
      <c r="B5" s="8" t="s">
        <v>115</v>
      </c>
      <c r="C5" s="104">
        <f>Indicadores!$P$39</f>
        <v>10</v>
      </c>
    </row>
    <row r="6" spans="2:3" x14ac:dyDescent="0.2">
      <c r="B6" s="8" t="s">
        <v>250</v>
      </c>
      <c r="C6" s="104">
        <f>IF(C4="Último mes con datos",C5,IFERROR(MATCH(C4,$B$21:$B$32,0),0))</f>
        <v>10</v>
      </c>
    </row>
    <row r="7" spans="2:3" x14ac:dyDescent="0.2">
      <c r="B7" s="8" t="s">
        <v>251</v>
      </c>
      <c r="C7" s="104">
        <f>IF(C6=0,0,INDEX(Indicadores!$D$37:$O$37,C6))</f>
        <v>1</v>
      </c>
    </row>
    <row r="8" spans="2:3" x14ac:dyDescent="0.2">
      <c r="B8" s="8" t="s">
        <v>252</v>
      </c>
      <c r="C8" s="104" t="str">
        <f>IF(C6=0,"",INDEX($B$21:$B$32,C6))</f>
        <v>Octubre</v>
      </c>
    </row>
    <row r="9" spans="2:3" x14ac:dyDescent="0.2">
      <c r="B9" s="8" t="s">
        <v>253</v>
      </c>
      <c r="C9" s="104" t="str">
        <f>LOWER(C8)</f>
        <v>octubre</v>
      </c>
    </row>
    <row r="10" spans="2:3" x14ac:dyDescent="0.2">
      <c r="B10" s="8" t="s">
        <v>254</v>
      </c>
      <c r="C10" s="104" t="str">
        <f>IF(C6&lt;=1,"",INDEX($C$21:$C$32,C6-1))</f>
        <v>sep.</v>
      </c>
    </row>
    <row r="11" spans="2:3" x14ac:dyDescent="0.2">
      <c r="B11" s="8" t="s">
        <v>83</v>
      </c>
      <c r="C11" s="104" t="str">
        <f>IF(C6=0,"",INDEX('Datos del mes'!$D$8:$O$8,C6))</f>
        <v>Completo</v>
      </c>
    </row>
    <row r="12" spans="2:3" x14ac:dyDescent="0.2">
      <c r="B12" s="8" t="s">
        <v>255</v>
      </c>
      <c r="C12" s="104" t="str">
        <f>"Cuadro de mando · "&amp;IF(C6=0,"elige un mes con datos",C9&amp;" "&amp;Objetivos!$C$6)</f>
        <v>Cuadro de mando · octubre 2026</v>
      </c>
    </row>
    <row r="13" spans="2:3" x14ac:dyDescent="0.2">
      <c r="B13" s="8" t="s">
        <v>256</v>
      </c>
      <c r="C13" s="104" t="str">
        <f>IF(Objetivos!$C$5="","",Objetivos!$C$5&amp;"   ·   ")&amp;IF(C6=0,"Todavía no hay datos: rellena «Datos del mes».",IF(C7=0,C8&amp;" aún no tiene datos: rellénalo en «Datos del mes».",IF(C11="Completo","Mes con todos los datos.","Ojo: a "&amp;C9&amp;" le "&amp;IF(LEFT(C11,6)="Faltan","faltan","falta")&amp;MID(C11,IF(LEFT(C11,6)="Faltan",7,6),20)&amp;" en «Datos del mes».")))</f>
        <v>Centro de ejemplo   ·   Mes con todos los datos.</v>
      </c>
    </row>
    <row r="20" spans="2:3" x14ac:dyDescent="0.2">
      <c r="B20" s="105" t="s">
        <v>257</v>
      </c>
      <c r="C20" s="106" t="s">
        <v>258</v>
      </c>
    </row>
    <row r="21" spans="2:3" x14ac:dyDescent="0.2">
      <c r="B21" s="45" t="s">
        <v>259</v>
      </c>
      <c r="C21" s="107" t="s">
        <v>260</v>
      </c>
    </row>
    <row r="22" spans="2:3" x14ac:dyDescent="0.2">
      <c r="B22" s="45" t="s">
        <v>261</v>
      </c>
      <c r="C22" s="107" t="s">
        <v>262</v>
      </c>
    </row>
    <row r="23" spans="2:3" x14ac:dyDescent="0.2">
      <c r="B23" s="45" t="s">
        <v>263</v>
      </c>
      <c r="C23" s="107" t="s">
        <v>264</v>
      </c>
    </row>
    <row r="24" spans="2:3" x14ac:dyDescent="0.2">
      <c r="B24" s="45" t="s">
        <v>265</v>
      </c>
      <c r="C24" s="107" t="s">
        <v>266</v>
      </c>
    </row>
    <row r="25" spans="2:3" x14ac:dyDescent="0.2">
      <c r="B25" s="45" t="s">
        <v>267</v>
      </c>
      <c r="C25" s="107" t="s">
        <v>268</v>
      </c>
    </row>
    <row r="26" spans="2:3" x14ac:dyDescent="0.2">
      <c r="B26" s="45" t="s">
        <v>269</v>
      </c>
      <c r="C26" s="107" t="s">
        <v>270</v>
      </c>
    </row>
    <row r="27" spans="2:3" x14ac:dyDescent="0.2">
      <c r="B27" s="45" t="s">
        <v>271</v>
      </c>
      <c r="C27" s="107" t="s">
        <v>272</v>
      </c>
    </row>
    <row r="28" spans="2:3" x14ac:dyDescent="0.2">
      <c r="B28" s="45" t="s">
        <v>273</v>
      </c>
      <c r="C28" s="107" t="s">
        <v>274</v>
      </c>
    </row>
    <row r="29" spans="2:3" x14ac:dyDescent="0.2">
      <c r="B29" s="45" t="s">
        <v>275</v>
      </c>
      <c r="C29" s="107" t="s">
        <v>276</v>
      </c>
    </row>
    <row r="30" spans="2:3" x14ac:dyDescent="0.2">
      <c r="B30" s="45" t="s">
        <v>277</v>
      </c>
      <c r="C30" s="107" t="s">
        <v>278</v>
      </c>
    </row>
    <row r="31" spans="2:3" x14ac:dyDescent="0.2">
      <c r="B31" s="45" t="s">
        <v>279</v>
      </c>
      <c r="C31" s="107" t="s">
        <v>280</v>
      </c>
    </row>
    <row r="32" spans="2:3" x14ac:dyDescent="0.2">
      <c r="B32" s="45" t="s">
        <v>281</v>
      </c>
      <c r="C32" s="107" t="s">
        <v>282</v>
      </c>
    </row>
    <row r="35" spans="2:15" x14ac:dyDescent="0.2">
      <c r="B35" s="105" t="s">
        <v>283</v>
      </c>
      <c r="C35" s="106" t="s">
        <v>284</v>
      </c>
      <c r="D35" s="106" t="s">
        <v>285</v>
      </c>
    </row>
    <row r="36" spans="2:15" x14ac:dyDescent="0.2">
      <c r="B36" s="14" t="s">
        <v>286</v>
      </c>
      <c r="C36" s="108">
        <f>IF('Cálculos panel'!$C$6=0,"",IF(ISNUMBER(INDEX('Datos del mes'!$D$25:$O$25,'Cálculos panel'!$C$6)),INDEX('Datos del mes'!$D$25:$O$25,'Cálculos panel'!$C$6),""))</f>
        <v>77</v>
      </c>
    </row>
    <row r="37" spans="2:15" x14ac:dyDescent="0.2">
      <c r="B37" s="14" t="str">
        <f>IF(ISNUMBER(D37),"Pruebas · "&amp;ROUND(D37*100,0)&amp;" %","Pruebas")</f>
        <v>Pruebas · 45 %</v>
      </c>
      <c r="C37" s="108">
        <f>IF('Cálculos panel'!$C$6=0,"",IF(ISNUMBER(INDEX('Datos del mes'!$D$26:$O$26,'Cálculos panel'!$C$6)),INDEX('Datos del mes'!$D$26:$O$26,'Cálculos panel'!$C$6),""))</f>
        <v>35</v>
      </c>
      <c r="D37" s="109">
        <f>IF('Cálculos panel'!$C$6=0,"",INDEX(Indicadores!$D$24:$O$24,'Cálculos panel'!$C$6))</f>
        <v>0.45454545454545453</v>
      </c>
    </row>
    <row r="38" spans="2:15" x14ac:dyDescent="0.2">
      <c r="B38" s="14" t="str">
        <f>IF(ISNUMBER(D38),"Altas · "&amp;ROUND(D38*100,0)&amp;" %","Altas")</f>
        <v>Altas · 43 %</v>
      </c>
      <c r="C38" s="108">
        <f>IF('Cálculos panel'!$C$6=0,"",IF(ISNUMBER(INDEX('Datos del mes'!$D$27:$O$27,'Cálculos panel'!$C$6)),INDEX('Datos del mes'!$D$27:$O$27,'Cálculos panel'!$C$6),""))</f>
        <v>15</v>
      </c>
      <c r="D38" s="109">
        <f>IF('Cálculos panel'!$C$6=0,"",INDEX(Indicadores!$D$25:$O$25,'Cálculos panel'!$C$6))</f>
        <v>0.42857142857142855</v>
      </c>
    </row>
    <row r="40" spans="2:15" x14ac:dyDescent="0.2">
      <c r="B40" s="105" t="s">
        <v>287</v>
      </c>
      <c r="C40" s="106" t="s">
        <v>288</v>
      </c>
      <c r="D40" s="106" t="s">
        <v>289</v>
      </c>
    </row>
    <row r="41" spans="2:15" x14ac:dyDescent="0.2">
      <c r="B41" s="14" t="str">
        <f>IF(ISNUMBER(D41),"Cuotas · "&amp;ROUND(D41*100,0)&amp;" %","Cuotas")</f>
        <v>Cuotas · 70 %</v>
      </c>
      <c r="C41" s="110">
        <f>IF('Cálculos panel'!$C$6=0,"",IF(ISNUMBER(INDEX('Datos del mes'!$D$13:$O$13,'Cálculos panel'!$C$6)),INDEX('Datos del mes'!$D$13:$O$13,'Cálculos panel'!$C$6),""))</f>
        <v>12920</v>
      </c>
      <c r="D41" s="109">
        <f>IF(AND(ISNUMBER(C41),N(C46)&gt;0),C41/C46,"")</f>
        <v>0.69762419006479481</v>
      </c>
    </row>
    <row r="42" spans="2:15" x14ac:dyDescent="0.2">
      <c r="B42" s="14" t="str">
        <f>IF(ISNUMBER(D42),"Bonos y sesiones · "&amp;ROUND(D42*100,0)&amp;" %","Bonos y sesiones")</f>
        <v>Bonos y sesiones · 5 %</v>
      </c>
      <c r="C42" s="110">
        <f>IF('Cálculos panel'!$C$6=0,"",IF(ISNUMBER(INDEX('Datos del mes'!$D$14:$O$14,'Cálculos panel'!$C$6)),INDEX('Datos del mes'!$D$14:$O$14,'Cálculos panel'!$C$6),""))</f>
        <v>940</v>
      </c>
      <c r="D42" s="109">
        <f>IF(AND(ISNUMBER(C42),N(C46)&gt;0),C42/C46,"")</f>
        <v>5.0755939524838013E-2</v>
      </c>
    </row>
    <row r="43" spans="2:15" x14ac:dyDescent="0.2">
      <c r="B43" s="14" t="str">
        <f>IF(ISNUMBER(D43),"Entrenamiento personal · "&amp;ROUND(D43*100,0)&amp;" %","Entrenamiento personal")</f>
        <v>Entrenamiento personal · 19 %</v>
      </c>
      <c r="C43" s="110">
        <f>IF('Cálculos panel'!$C$6=0,"",IF(ISNUMBER(INDEX('Datos del mes'!$D$15:$O$15,'Cálculos panel'!$C$6)),INDEX('Datos del mes'!$D$15:$O$15,'Cálculos panel'!$C$6),""))</f>
        <v>3560</v>
      </c>
      <c r="D43" s="109">
        <f>IF(AND(ISNUMBER(C43),N(C46)&gt;0),C43/C46,"")</f>
        <v>0.19222462203023757</v>
      </c>
    </row>
    <row r="44" spans="2:15" x14ac:dyDescent="0.2">
      <c r="B44" s="14" t="str">
        <f>IF(ISNUMBER(D44),"Tienda · "&amp;ROUND(D44*100,0)&amp;" %","Tienda")</f>
        <v>Tienda · 3 %</v>
      </c>
      <c r="C44" s="110">
        <f>IF('Cálculos panel'!$C$6=0,"",IF(ISNUMBER(INDEX('Datos del mes'!$D$16:$O$16,'Cálculos panel'!$C$6)),INDEX('Datos del mes'!$D$16:$O$16,'Cálculos panel'!$C$6),""))</f>
        <v>540</v>
      </c>
      <c r="D44" s="109">
        <f>IF(AND(ISNUMBER(C44),N(C46)&gt;0),C44/C46,"")</f>
        <v>2.9157667386609073E-2</v>
      </c>
    </row>
    <row r="45" spans="2:15" x14ac:dyDescent="0.2">
      <c r="B45" s="14" t="str">
        <f>IF(ISNUMBER(D45),"Otros · "&amp;ROUND(D45*100,0)&amp;" %","Otros")</f>
        <v>Otros · 3 %</v>
      </c>
      <c r="C45" s="110">
        <f>IF('Cálculos panel'!$C$6=0,"",IF(ISNUMBER(INDEX('Datos del mes'!$D$17:$O$17,'Cálculos panel'!$C$6)),INDEX('Datos del mes'!$D$17:$O$17,'Cálculos panel'!$C$6),""))</f>
        <v>560</v>
      </c>
      <c r="D45" s="109">
        <f>IF(AND(ISNUMBER(C45),N(C46)&gt;0),C45/C46,"")</f>
        <v>3.0237580993520519E-2</v>
      </c>
    </row>
    <row r="46" spans="2:15" x14ac:dyDescent="0.2">
      <c r="B46" s="104" t="s">
        <v>290</v>
      </c>
      <c r="C46" s="111">
        <f>IF(COUNT(C41:C45)=0,"",SUM(C41:C45))</f>
        <v>18520</v>
      </c>
    </row>
    <row r="48" spans="2:15" x14ac:dyDescent="0.2">
      <c r="B48" s="104" t="s">
        <v>291</v>
      </c>
      <c r="D48" s="109">
        <f>Indicadores!$Q$12</f>
        <v>0.04</v>
      </c>
      <c r="E48" s="109">
        <f>Indicadores!$Q$12</f>
        <v>0.04</v>
      </c>
      <c r="F48" s="109">
        <f>Indicadores!$Q$12</f>
        <v>0.04</v>
      </c>
      <c r="G48" s="109">
        <f>Indicadores!$Q$12</f>
        <v>0.04</v>
      </c>
      <c r="H48" s="109">
        <f>Indicadores!$Q$12</f>
        <v>0.04</v>
      </c>
      <c r="I48" s="109">
        <f>Indicadores!$Q$12</f>
        <v>0.04</v>
      </c>
      <c r="J48" s="109">
        <f>Indicadores!$Q$12</f>
        <v>0.04</v>
      </c>
      <c r="K48" s="109">
        <f>Indicadores!$Q$12</f>
        <v>0.04</v>
      </c>
      <c r="L48" s="109">
        <f>Indicadores!$Q$12</f>
        <v>0.04</v>
      </c>
      <c r="M48" s="109">
        <f>Indicadores!$Q$12</f>
        <v>0.04</v>
      </c>
      <c r="N48" s="109">
        <f>Indicadores!$Q$12</f>
        <v>0.04</v>
      </c>
      <c r="O48" s="109">
        <f>Indicadores!$Q$12</f>
        <v>0.04</v>
      </c>
    </row>
    <row r="50" spans="2:10" x14ac:dyDescent="0.2">
      <c r="B50" s="105" t="s">
        <v>292</v>
      </c>
      <c r="C50" s="106" t="s">
        <v>293</v>
      </c>
      <c r="D50" s="106" t="s">
        <v>294</v>
      </c>
      <c r="E50" s="106" t="s">
        <v>295</v>
      </c>
      <c r="F50" s="106" t="s">
        <v>296</v>
      </c>
      <c r="G50" s="106" t="s">
        <v>297</v>
      </c>
      <c r="H50" s="106" t="s">
        <v>140</v>
      </c>
      <c r="I50" s="106" t="s">
        <v>298</v>
      </c>
      <c r="J50" s="106" t="s">
        <v>299</v>
      </c>
    </row>
    <row r="51" spans="2:10" x14ac:dyDescent="0.2">
      <c r="B51" s="14" t="s">
        <v>118</v>
      </c>
      <c r="C51" s="108">
        <f>IF('Cálculos panel'!$C$6=0,"",INDEX(Indicadores!$D$10:$O$10,'Cálculos panel'!$C$6))</f>
        <v>266</v>
      </c>
      <c r="D51" s="108">
        <f>IF('Cálculos panel'!$C$6&lt;=1,"",INDEX(Indicadores!$D$10:$O$10,'Cálculos panel'!$C$6-1))</f>
        <v>257</v>
      </c>
      <c r="E51" s="112">
        <f>IF(AND(ISNUMBER(C51),ISNUMBER(D51)),C51-D51,"")</f>
        <v>9</v>
      </c>
      <c r="I51" s="108">
        <f>IF('Cálculos panel'!$C$6=0,"",INDEX(Indicadores!$D$8:$O$8,'Cálculos panel'!$C$6))</f>
        <v>18</v>
      </c>
      <c r="J51" s="108">
        <f>IF('Cálculos panel'!$C$6=0,"",INDEX(Indicadores!$D$9:$O$9,'Cálculos panel'!$C$6))</f>
        <v>9</v>
      </c>
    </row>
    <row r="52" spans="2:10" x14ac:dyDescent="0.2">
      <c r="B52" s="14" t="s">
        <v>119</v>
      </c>
      <c r="C52" s="109">
        <f>IF('Cálculos panel'!$C$6=0,"",INDEX(Indicadores!$D$12:$O$12,'Cálculos panel'!$C$6))</f>
        <v>3.5019455252918288E-2</v>
      </c>
      <c r="D52" s="109">
        <f>IF('Cálculos panel'!$C$6&lt;=1,"",INDEX(Indicadores!$D$12:$O$12,'Cálculos panel'!$C$6-1))</f>
        <v>3.4188034188034191E-2</v>
      </c>
      <c r="E52" s="113">
        <f>IF(AND(ISNUMBER(C52),ISNUMBER(D52)),(C52-D52)*100,"")</f>
        <v>8.3142106488409695E-2</v>
      </c>
      <c r="F52" s="14" t="str">
        <f>IF(NOT(ISNUMBER(C52)),"Sin datos",IF(C52&lt;=G52,"En objetivo",IF(C52&lt;=H52,"Vigilar","Fuera de objetivo")))</f>
        <v>En objetivo</v>
      </c>
      <c r="G52" s="114">
        <f>Indicadores!$Q$12</f>
        <v>0.04</v>
      </c>
      <c r="H52" s="109">
        <f>Indicadores!$R$12</f>
        <v>5.5E-2</v>
      </c>
    </row>
    <row r="53" spans="2:10" x14ac:dyDescent="0.2">
      <c r="B53" s="14" t="s">
        <v>120</v>
      </c>
      <c r="C53" s="109">
        <f>IF('Cálculos panel'!$C$6=0,"",INDEX(Indicadores!$D$25:$O$25,'Cálculos panel'!$C$6))</f>
        <v>0.42857142857142855</v>
      </c>
      <c r="D53" s="109">
        <f>IF('Cálculos panel'!$C$6&lt;=1,"",INDEX(Indicadores!$D$25:$O$25,'Cálculos panel'!$C$6-1))</f>
        <v>0.44642857142857145</v>
      </c>
      <c r="E53" s="113">
        <f>IF(AND(ISNUMBER(C53),ISNUMBER(D53)),(C53-D53)*100,"")</f>
        <v>-1.7857142857142905</v>
      </c>
      <c r="F53" s="14" t="str">
        <f>IF(NOT(ISNUMBER(C53)),"Sin datos",IF(C53&gt;=G53,"En objetivo",IF(C53&gt;=H53,"Vigilar","Fuera de objetivo")))</f>
        <v>En objetivo</v>
      </c>
      <c r="G53" s="115">
        <f>Indicadores!$Q$25</f>
        <v>0.4</v>
      </c>
      <c r="H53" s="109">
        <f>Indicadores!$R$25</f>
        <v>0.32</v>
      </c>
    </row>
    <row r="54" spans="2:10" x14ac:dyDescent="0.2">
      <c r="B54" s="14" t="s">
        <v>121</v>
      </c>
      <c r="C54" s="110">
        <f>IF('Cálculos panel'!$C$6=0,"",INDEX(Indicadores!$D$28:$O$28,'Cálculos panel'!$C$6))</f>
        <v>63.888888888888886</v>
      </c>
      <c r="D54" s="110">
        <f>IF('Cálculos panel'!$C$6&lt;=1,"",INDEX(Indicadores!$D$28:$O$28,'Cálculos panel'!$C$6-1))</f>
        <v>53.225806451612904</v>
      </c>
      <c r="E54" s="116">
        <f>IF(AND(ISNUMBER(C54),ISNUMBER(D54)),C54-D54,"")</f>
        <v>10.663082437275982</v>
      </c>
      <c r="F54" s="14" t="str">
        <f>IF(NOT(ISNUMBER(C54)),"Sin datos",IF(C54&lt;=G54,"En objetivo",IF(C54&lt;=H54,"Vigilar","Fuera de objetivo")))</f>
        <v>En objetivo</v>
      </c>
      <c r="G54" s="117">
        <f>Indicadores!$Q$28</f>
        <v>70</v>
      </c>
      <c r="H54" s="118">
        <f>Indicadores!$R$28</f>
        <v>100</v>
      </c>
    </row>
    <row r="55" spans="2:10" x14ac:dyDescent="0.2">
      <c r="B55" s="14" t="s">
        <v>122</v>
      </c>
      <c r="C55" s="119">
        <f>IF('Cálculos panel'!$C$6=0,"",INDEX(Indicadores!$D$30:$O$30,'Cálculos panel'!$C$6))</f>
        <v>5.9480256047884277</v>
      </c>
      <c r="D55" s="119">
        <f>IF('Cálculos panel'!$C$6&lt;=1,"",INDEX(Indicadores!$D$30:$O$30,'Cálculos panel'!$C$6-1))</f>
        <v>5.6409553786335858</v>
      </c>
      <c r="E55" s="120">
        <f>IF(AND(ISNUMBER(C55),ISNUMBER(D55)),C55-D55,"")</f>
        <v>0.30707022615484192</v>
      </c>
      <c r="F55" s="14" t="str">
        <f>IF(NOT(ISNUMBER(C55)),"Sin datos",IF(C55&gt;=G55,"En objetivo",IF(C55&gt;=H55,"Vigilar","Fuera de objetivo")))</f>
        <v>En objetivo</v>
      </c>
      <c r="G55" s="121">
        <f>Indicadores!$Q$30</f>
        <v>3</v>
      </c>
      <c r="H55" s="119">
        <f>Indicadores!$R$30</f>
        <v>2</v>
      </c>
    </row>
    <row r="56" spans="2:10" x14ac:dyDescent="0.2">
      <c r="B56" s="14" t="s">
        <v>124</v>
      </c>
      <c r="C56" s="110">
        <f>IF('Cálculos panel'!$C$6=0,"",INDEX(Indicadores!$D$15:$O$15,'Cálculos panel'!$C$6))</f>
        <v>18520</v>
      </c>
      <c r="D56" s="110">
        <f>IF('Cálculos panel'!$C$6&lt;=1,"",INDEX(Indicadores!$D$15:$O$15,'Cálculos panel'!$C$6-1))</f>
        <v>17680</v>
      </c>
      <c r="E56" s="122">
        <f>IF(AND(ISNUMBER(C56),ISNUMBER(D56)),IF(D56&gt;0,C56/D56-1,""),"")</f>
        <v>4.7511312217194623E-2</v>
      </c>
      <c r="I56" s="110">
        <f>IF('Cálculos panel'!$C$6=0,"",INDEX(Indicadores!$D$17:$O$17,'Cálculos panel'!$C$6))</f>
        <v>3480</v>
      </c>
      <c r="J56" s="123">
        <f>IF('Cálculos panel'!$C$6=0,"",INDEX(Indicadores!$D$20:$O$20,'Cálculos panel'!$C$6))</f>
        <v>70.822179732313572</v>
      </c>
    </row>
    <row r="57" spans="2:10" x14ac:dyDescent="0.2">
      <c r="B57" s="14" t="s">
        <v>54</v>
      </c>
      <c r="C57" s="109">
        <f>IF('Cálculos panel'!$C$6=0,"",INDEX(Indicadores!$D$18:$O$18,'Cálculos panel'!$C$6))</f>
        <v>0.18790496760259179</v>
      </c>
      <c r="D57" s="109">
        <f>IF('Cálculos panel'!$C$6&lt;=1,"",INDEX(Indicadores!$D$18:$O$18,'Cálculos panel'!$C$6-1))</f>
        <v>0.1425339366515837</v>
      </c>
      <c r="E57" s="113">
        <f>IF(AND(ISNUMBER(C57),ISNUMBER(D57)),(C57-D57)*100,"")</f>
        <v>4.5371030951008082</v>
      </c>
      <c r="F57" s="14" t="str">
        <f>IF(NOT(ISNUMBER(C57)),"Sin datos",IF(C57&gt;=G57,"En objetivo",IF(C57&gt;=H57,"Vigilar","Fuera de objetivo")))</f>
        <v>En objetivo</v>
      </c>
      <c r="G57" s="115">
        <f>Indicadores!$Q$18</f>
        <v>0.15</v>
      </c>
      <c r="H57" s="109">
        <f>Indicadores!$R$18</f>
        <v>9.9999999999999992E-2</v>
      </c>
    </row>
    <row r="58" spans="2:10" x14ac:dyDescent="0.2">
      <c r="B58" s="14" t="s">
        <v>125</v>
      </c>
      <c r="C58" s="109">
        <f>IF('Cálculos panel'!$C$6=0,"",INDEX(Indicadores!$D$19:$O$19,'Cálculos panel'!$C$6))</f>
        <v>0.43736501079913609</v>
      </c>
      <c r="D58" s="109">
        <f>IF('Cálculos panel'!$C$6&lt;=1,"",INDEX(Indicadores!$D$19:$O$19,'Cálculos panel'!$C$6-1))</f>
        <v>0.43269230769230771</v>
      </c>
      <c r="E58" s="113">
        <f>IF(AND(ISNUMBER(C58),ISNUMBER(D58)),(C58-D58)*100,"")</f>
        <v>0.46727031068283797</v>
      </c>
      <c r="F58" s="14" t="str">
        <f>IF(NOT(ISNUMBER(C58)),"Sin datos",IF(C58&lt;=G58,"En objetivo",IF(C58&lt;=H58,"Vigilar","Fuera de objetivo")))</f>
        <v>Vigilar</v>
      </c>
      <c r="G58" s="114">
        <f>Indicadores!$Q$19</f>
        <v>0.42</v>
      </c>
      <c r="H58" s="109">
        <f>Indicadores!$R$19</f>
        <v>0.45999999999999996</v>
      </c>
    </row>
    <row r="59" spans="2:10" x14ac:dyDescent="0.2">
      <c r="B59" s="14" t="s">
        <v>57</v>
      </c>
      <c r="C59" s="109">
        <f>IF('Cálculos panel'!$C$6=0,"",INDEX(Indicadores!$D$21:$O$21,'Cálculos panel'!$C$6))</f>
        <v>1.820388349514563E-2</v>
      </c>
      <c r="D59" s="109">
        <f>IF('Cálculos panel'!$C$6&lt;=1,"",INDEX(Indicadores!$D$21:$O$21,'Cálculos panel'!$C$6-1))</f>
        <v>2.1753460777851022E-2</v>
      </c>
      <c r="E59" s="113">
        <f>IF(AND(ISNUMBER(C59),ISNUMBER(D59)),(C59-D59)*100,"")</f>
        <v>-0.35495772827053917</v>
      </c>
      <c r="F59" s="14" t="str">
        <f>IF(NOT(ISNUMBER(C59)),"Sin datos",IF(C59&lt;=G59,"En objetivo",IF(C59&lt;=H59,"Vigilar","Fuera de objetivo")))</f>
        <v>En objetivo</v>
      </c>
      <c r="G59" s="114">
        <f>Indicadores!$Q$21</f>
        <v>0.03</v>
      </c>
      <c r="H59" s="109">
        <f>Indicadores!$R$21</f>
        <v>0.05</v>
      </c>
    </row>
    <row r="60" spans="2:10" x14ac:dyDescent="0.2">
      <c r="B60" s="14" t="s">
        <v>58</v>
      </c>
      <c r="C60" s="109">
        <f>IF('Cálculos panel'!$C$6=0,"",INDEX(Indicadores!$D$32:$O$32,'Cálculos panel'!$C$6))</f>
        <v>0.75</v>
      </c>
      <c r="D60" s="109">
        <f>IF('Cálculos panel'!$C$6&lt;=1,"",INDEX(Indicadores!$D$32:$O$32,'Cálculos panel'!$C$6-1))</f>
        <v>0.78061224489795922</v>
      </c>
      <c r="E60" s="113">
        <f>IF(AND(ISNUMBER(C60),ISNUMBER(D60)),(C60-D60)*100,"")</f>
        <v>-3.0612244897959218</v>
      </c>
      <c r="F60" s="14" t="str">
        <f>IF(NOT(ISNUMBER(C60)),"Sin datos",IF(C60&gt;=G60,"En objetivo",IF(C60&gt;=H60,"Vigilar","Fuera de objetivo")))</f>
        <v>En objetivo</v>
      </c>
      <c r="G60" s="115">
        <f>Indicadores!$Q$32</f>
        <v>0.65</v>
      </c>
      <c r="H60" s="109">
        <f>Indicadores!$R$32</f>
        <v>0.55000000000000004</v>
      </c>
    </row>
  </sheetData>
  <printOptions horizontalCentered="1"/>
  <pageMargins left="0.4" right="0.4" top="0.6" bottom="0.55000000000000004" header="0.25" footer="0.25"/>
  <pageSetup paperSize="9" fitToHeight="0" orientation="landscape"/>
  <headerFooter>
    <oddHeader>&amp;L&amp;"Arial,Regular"&amp;8 &amp;K5C697D&amp;A&amp;R&amp;"Arial,Regular"&amp;8 &amp;K5C697Dgymgym.es/recursos</oddHeader>
    <oddFooter>&amp;L&amp;"Arial,Regular"&amp;8 &amp;K5C697DCuadro de mando mensual · Plantilla gratuita de GymGym&amp;R&amp;"Arial,Regular"&amp;8 &amp;K5C697DPágina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9</vt:i4>
      </vt:variant>
    </vt:vector>
  </HeadingPairs>
  <TitlesOfParts>
    <vt:vector size="17" baseType="lpstr">
      <vt:lpstr>Empieza aquí</vt:lpstr>
      <vt:lpstr>Objetivos</vt:lpstr>
      <vt:lpstr>Datos del mes</vt:lpstr>
      <vt:lpstr>Panel</vt:lpstr>
      <vt:lpstr>Indicadores</vt:lpstr>
      <vt:lpstr>Glosario</vt:lpstr>
      <vt:lpstr>Cuando la hoja se queda corta</vt:lpstr>
      <vt:lpstr>Cálculos panel</vt:lpstr>
      <vt:lpstr>'Cálculos panel'!Área_de_impresión</vt:lpstr>
      <vt:lpstr>'Cuando la hoja se queda corta'!Área_de_impresión</vt:lpstr>
      <vt:lpstr>'Datos del mes'!Área_de_impresión</vt:lpstr>
      <vt:lpstr>'Empieza aquí'!Área_de_impresión</vt:lpstr>
      <vt:lpstr>Glosario!Área_de_impresión</vt:lpstr>
      <vt:lpstr>Indicadores!Área_de_impresión</vt:lpstr>
      <vt:lpstr>Objetivos!Área_de_impresión</vt:lpstr>
      <vt:lpstr>Panel!Área_de_impresión</vt:lpstr>
      <vt:lpstr>Glosario!Títulos_a_imprimir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Cuadro de mando mensual de tu gimnasio</dc:title>
  <dc:subject>Indicadores mensuales con semáforos para gimnasios, boxes y estudios</dc:subject>
  <dc:creator>GymGym</dc:creator>
  <cp:keywords>gimnasio, cuadro de mando, KPI, tasa de bajas, plantilla</cp:keywords>
  <cp:lastModifiedBy>Alejo Martín Arias Filippo</cp:lastModifiedBy>
  <dcterms:created xsi:type="dcterms:W3CDTF">2026-11-02T18:07:45Z</dcterms:created>
  <dcterms:modified xsi:type="dcterms:W3CDTF">2026-11-02T18:07:46Z</dcterms:modified>
</cp:coreProperties>
</file>